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drawings/drawing3.xml" ContentType="application/vnd.openxmlformats-officedocument.drawing+xml"/>
  <Override PartName="/xl/charts/chart18.xml" ContentType="application/vnd.openxmlformats-officedocument.drawingml.chart+xml"/>
  <Override PartName="/xl/theme/themeOverride16.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19.xml" ContentType="application/vnd.openxmlformats-officedocument.drawingml.chart+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style18.xml" ContentType="application/vnd.ms-office.chartstyle+xml"/>
  <Override PartName="/xl/charts/colors18.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workbookProtection workbookPassword="E9FB" lockStructure="1"/>
  <bookViews>
    <workbookView xWindow="0" yWindow="0" windowWidth="20490" windowHeight="7755" firstSheet="2" activeTab="2"/>
  </bookViews>
  <sheets>
    <sheet name="DATOS @ " sheetId="15" state="hidden" r:id="rId1"/>
    <sheet name="RT03-F12 @" sheetId="8" state="hidden" r:id="rId2"/>
    <sheet name=" RT03-F15 @" sheetId="18" r:id="rId3"/>
    <sheet name=" CMC @" sheetId="25" state="hidden" r:id="rId4"/>
    <sheet name="Max y MIN @" sheetId="28" state="hidden" r:id="rId5"/>
    <sheet name=" RT03-F39 @ " sheetId="29" state="hidden" r:id="rId6"/>
  </sheets>
  <externalReferences>
    <externalReference r:id="rId7"/>
    <externalReference r:id="rId8"/>
    <externalReference r:id="rId9"/>
  </externalReferences>
  <definedNames>
    <definedName name="a1_">'[1]APROXIMACION LINEL'!$C$21</definedName>
    <definedName name="_xlnm.Print_Area" localSheetId="3">' CMC @'!$A$1:$K$32</definedName>
    <definedName name="_xlnm.Print_Area" localSheetId="2">' RT03-F15 @'!$A$1:$G$190</definedName>
    <definedName name="_xlnm.Print_Area" localSheetId="5">' RT03-F39 @ '!$A$1:$G$190</definedName>
    <definedName name="_xlnm.Print_Area" localSheetId="1">'RT03-F12 @'!$A$1:$Q$144</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@'!$A$1:$G$189</definedName>
    <definedName name="Print_Area" localSheetId="5">' RT03-F39 @ '!$A$1:$G$189</definedName>
    <definedName name="Print_Area" localSheetId="0">'DATOS @ '!$A$1:$T$167</definedName>
    <definedName name="Print_Area" localSheetId="1">'RT03-F12 @'!$A$1:$L$146</definedName>
    <definedName name="Print_Titles" localSheetId="2">' RT03-F15 @'!$1:$1</definedName>
    <definedName name="Print_Titles" localSheetId="5">' RT03-F39 @ '!$1:$1</definedName>
    <definedName name="Print_Titles" localSheetId="1">'RT03-F12 @'!$1:$3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4" i="29" l="1"/>
  <c r="A184" i="29"/>
  <c r="E183" i="29"/>
  <c r="A183" i="29"/>
  <c r="C102" i="29"/>
  <c r="C101" i="29"/>
  <c r="C100" i="29"/>
  <c r="C99" i="29"/>
  <c r="C98" i="29"/>
  <c r="E90" i="29"/>
  <c r="D90" i="29"/>
  <c r="C90" i="29"/>
  <c r="A90" i="29"/>
  <c r="E89" i="29"/>
  <c r="D89" i="29"/>
  <c r="C89" i="29"/>
  <c r="A89" i="29"/>
  <c r="E88" i="29"/>
  <c r="D88" i="29"/>
  <c r="C88" i="29"/>
  <c r="A88" i="29"/>
  <c r="E87" i="29"/>
  <c r="D87" i="29"/>
  <c r="C87" i="29"/>
  <c r="A87" i="29"/>
  <c r="E86" i="29"/>
  <c r="D86" i="29"/>
  <c r="C86" i="29"/>
  <c r="A86" i="29"/>
  <c r="E85" i="29"/>
  <c r="D85" i="29"/>
  <c r="C85" i="29"/>
  <c r="A85" i="29"/>
  <c r="E84" i="29"/>
  <c r="D84" i="29"/>
  <c r="C84" i="29"/>
  <c r="A84" i="29"/>
  <c r="E83" i="29"/>
  <c r="D83" i="29"/>
  <c r="C83" i="29"/>
  <c r="A83" i="29"/>
  <c r="E82" i="29"/>
  <c r="D82" i="29"/>
  <c r="C82" i="29"/>
  <c r="A82" i="29"/>
  <c r="E81" i="29"/>
  <c r="D81" i="29"/>
  <c r="C81" i="29"/>
  <c r="A81" i="29"/>
  <c r="A79" i="29"/>
  <c r="C66" i="29"/>
  <c r="A66" i="29"/>
  <c r="C65" i="29"/>
  <c r="A65" i="29"/>
  <c r="C64" i="29"/>
  <c r="A64" i="29"/>
  <c r="C63" i="29"/>
  <c r="A63" i="29"/>
  <c r="C62" i="29"/>
  <c r="A62" i="29"/>
  <c r="C61" i="29"/>
  <c r="A61" i="29"/>
  <c r="D60" i="29"/>
  <c r="A60" i="29"/>
  <c r="B21" i="25" l="1"/>
  <c r="D103" i="8" l="1"/>
  <c r="A184" i="18" l="1"/>
  <c r="A183" i="18"/>
  <c r="E183" i="18"/>
  <c r="C5" i="28"/>
  <c r="B5" i="28"/>
  <c r="E5" i="28"/>
  <c r="F81" i="8" l="1"/>
  <c r="J81" i="8" l="1"/>
  <c r="I81" i="8"/>
  <c r="H81" i="8"/>
  <c r="G81" i="8"/>
  <c r="L32" i="8"/>
  <c r="I24" i="8"/>
  <c r="I80" i="8" s="1"/>
  <c r="I22" i="8"/>
  <c r="G80" i="8" s="1"/>
  <c r="I23" i="8"/>
  <c r="H80" i="8" s="1"/>
  <c r="D26" i="8"/>
  <c r="D14" i="8"/>
  <c r="D20" i="29" s="1"/>
  <c r="E34" i="8"/>
  <c r="C60" i="29" s="1"/>
  <c r="C37" i="8"/>
  <c r="D62" i="29" s="1"/>
  <c r="D37" i="8"/>
  <c r="D63" i="29" s="1"/>
  <c r="E37" i="8"/>
  <c r="D64" i="29" s="1"/>
  <c r="F37" i="8"/>
  <c r="D65" i="29" s="1"/>
  <c r="G37" i="8"/>
  <c r="D66" i="29" s="1"/>
  <c r="I59" i="8"/>
  <c r="J59" i="8" s="1"/>
  <c r="B113" i="8" s="1"/>
  <c r="D48" i="8"/>
  <c r="E48" i="8" s="1"/>
  <c r="C21" i="25"/>
  <c r="D21" i="25" s="1"/>
  <c r="N33" i="15"/>
  <c r="P33" i="15"/>
  <c r="M33" i="15"/>
  <c r="O33" i="15" s="1"/>
  <c r="Q33" i="15" s="1"/>
  <c r="O88" i="15"/>
  <c r="O87" i="15"/>
  <c r="O86" i="15"/>
  <c r="Q86" i="15" s="1"/>
  <c r="O85" i="15"/>
  <c r="O84" i="15"/>
  <c r="O83" i="15"/>
  <c r="O82" i="15"/>
  <c r="Q82" i="15" s="1"/>
  <c r="O81" i="15"/>
  <c r="O80" i="15"/>
  <c r="O79" i="15"/>
  <c r="O78" i="15"/>
  <c r="Q78" i="15" s="1"/>
  <c r="O77" i="15"/>
  <c r="O76" i="15"/>
  <c r="O75" i="15"/>
  <c r="O74" i="15"/>
  <c r="Q74" i="15" s="1"/>
  <c r="O73" i="15"/>
  <c r="O72" i="15"/>
  <c r="O71" i="15"/>
  <c r="O70" i="15"/>
  <c r="Q70" i="15" s="1"/>
  <c r="O69" i="15"/>
  <c r="O68" i="15"/>
  <c r="O67" i="15"/>
  <c r="O66" i="15"/>
  <c r="Q66" i="15" s="1"/>
  <c r="O65" i="15"/>
  <c r="O64" i="15"/>
  <c r="O63" i="15"/>
  <c r="O62" i="15"/>
  <c r="Q62" i="15" s="1"/>
  <c r="O61" i="15"/>
  <c r="O60" i="15"/>
  <c r="O59" i="15"/>
  <c r="O58" i="15"/>
  <c r="Q58" i="15" s="1"/>
  <c r="O57" i="15"/>
  <c r="O56" i="15"/>
  <c r="O55" i="15"/>
  <c r="O38" i="15"/>
  <c r="O39" i="15"/>
  <c r="O40" i="15"/>
  <c r="O41" i="15"/>
  <c r="O42" i="15"/>
  <c r="Q42" i="15" s="1"/>
  <c r="O43" i="15"/>
  <c r="O44" i="15"/>
  <c r="O45" i="15"/>
  <c r="O46" i="15"/>
  <c r="Q46" i="15" s="1"/>
  <c r="O47" i="15"/>
  <c r="O48" i="15"/>
  <c r="O49" i="15"/>
  <c r="O50" i="15"/>
  <c r="Q50" i="15" s="1"/>
  <c r="O51" i="15"/>
  <c r="O52" i="15"/>
  <c r="O53" i="15"/>
  <c r="O54" i="15"/>
  <c r="Q54" i="15" s="1"/>
  <c r="O29" i="15"/>
  <c r="O30" i="15"/>
  <c r="O31" i="15"/>
  <c r="O32" i="15"/>
  <c r="O28" i="15"/>
  <c r="P28" i="15"/>
  <c r="Q28" i="15" s="1"/>
  <c r="I21" i="8"/>
  <c r="F80" i="8" s="1"/>
  <c r="H21" i="8"/>
  <c r="B55" i="8" s="1"/>
  <c r="D55" i="8" s="1"/>
  <c r="D98" i="29" s="1"/>
  <c r="I15" i="8"/>
  <c r="D52" i="29" s="1"/>
  <c r="I14" i="8"/>
  <c r="S72" i="15"/>
  <c r="G26" i="8"/>
  <c r="G22" i="8"/>
  <c r="K94" i="8" s="1"/>
  <c r="Q94" i="8" s="1"/>
  <c r="S29" i="15"/>
  <c r="S30" i="15"/>
  <c r="S31" i="15"/>
  <c r="S32" i="15"/>
  <c r="S28" i="15"/>
  <c r="L17" i="15"/>
  <c r="K17" i="15"/>
  <c r="R125" i="15"/>
  <c r="E184" i="18"/>
  <c r="N55" i="8"/>
  <c r="T165" i="15"/>
  <c r="T164" i="15"/>
  <c r="S164" i="15"/>
  <c r="T163" i="15"/>
  <c r="T162" i="15"/>
  <c r="S162" i="15"/>
  <c r="T161" i="15"/>
  <c r="S161" i="15"/>
  <c r="S165" i="15"/>
  <c r="S163" i="15"/>
  <c r="R165" i="15"/>
  <c r="R164" i="15"/>
  <c r="R163" i="15"/>
  <c r="R162" i="15"/>
  <c r="Q162" i="15"/>
  <c r="R161" i="15"/>
  <c r="Q161" i="15"/>
  <c r="Q165" i="15"/>
  <c r="Q164" i="15"/>
  <c r="Q163" i="15"/>
  <c r="P165" i="15"/>
  <c r="P164" i="15"/>
  <c r="P163" i="15"/>
  <c r="P162" i="15"/>
  <c r="O162" i="15"/>
  <c r="P161" i="15"/>
  <c r="O161" i="15"/>
  <c r="O165" i="15"/>
  <c r="O164" i="15"/>
  <c r="O163" i="15"/>
  <c r="N165" i="15"/>
  <c r="K165" i="15"/>
  <c r="K164" i="15"/>
  <c r="K163" i="15"/>
  <c r="K162" i="15"/>
  <c r="K161" i="15"/>
  <c r="J165" i="15"/>
  <c r="J164" i="15"/>
  <c r="J163" i="15"/>
  <c r="J162" i="15"/>
  <c r="J161" i="15"/>
  <c r="I165" i="15"/>
  <c r="I164" i="15"/>
  <c r="I163" i="15"/>
  <c r="I162" i="15"/>
  <c r="I161" i="15"/>
  <c r="H164" i="15"/>
  <c r="H165" i="15"/>
  <c r="H163" i="15"/>
  <c r="H162" i="15"/>
  <c r="H161" i="15"/>
  <c r="G165" i="15"/>
  <c r="G164" i="15"/>
  <c r="G163" i="15"/>
  <c r="G162" i="15"/>
  <c r="E28" i="8" s="1"/>
  <c r="G161" i="15"/>
  <c r="K159" i="15"/>
  <c r="J159" i="15"/>
  <c r="H159" i="15"/>
  <c r="I159" i="15"/>
  <c r="R145" i="15"/>
  <c r="N163" i="15"/>
  <c r="Q145" i="15"/>
  <c r="M163" i="15"/>
  <c r="P145" i="15"/>
  <c r="L163" i="15"/>
  <c r="R135" i="15"/>
  <c r="N162" i="15"/>
  <c r="Q135" i="15"/>
  <c r="M162" i="15"/>
  <c r="P135" i="15"/>
  <c r="L162" i="15"/>
  <c r="Q125" i="15"/>
  <c r="M165" i="15"/>
  <c r="P125" i="15"/>
  <c r="L165" i="15"/>
  <c r="R114" i="15"/>
  <c r="N164" i="15"/>
  <c r="Q114" i="15"/>
  <c r="M164" i="15" s="1"/>
  <c r="P114" i="15"/>
  <c r="L164" i="15"/>
  <c r="R103" i="15"/>
  <c r="N161" i="15" s="1"/>
  <c r="Q103" i="15"/>
  <c r="M161" i="15"/>
  <c r="P103" i="15"/>
  <c r="L161" i="15" s="1"/>
  <c r="J29" i="8"/>
  <c r="C102" i="18"/>
  <c r="C101" i="18"/>
  <c r="C100" i="18"/>
  <c r="C99" i="18"/>
  <c r="C98" i="18"/>
  <c r="E90" i="18"/>
  <c r="D90" i="18"/>
  <c r="C90" i="18"/>
  <c r="A90" i="18"/>
  <c r="E89" i="18"/>
  <c r="D89" i="18"/>
  <c r="C89" i="18"/>
  <c r="A89" i="18"/>
  <c r="E88" i="18"/>
  <c r="D88" i="18"/>
  <c r="C88" i="18"/>
  <c r="A88" i="18"/>
  <c r="E87" i="18"/>
  <c r="D87" i="18"/>
  <c r="C87" i="18"/>
  <c r="A87" i="18"/>
  <c r="E86" i="18"/>
  <c r="D86" i="18"/>
  <c r="C86" i="18"/>
  <c r="A86" i="18"/>
  <c r="E85" i="18"/>
  <c r="D85" i="18"/>
  <c r="C85" i="18"/>
  <c r="A85" i="18"/>
  <c r="E84" i="18"/>
  <c r="D84" i="18"/>
  <c r="C84" i="18"/>
  <c r="A84" i="18"/>
  <c r="E83" i="18"/>
  <c r="D83" i="18"/>
  <c r="C83" i="18"/>
  <c r="A83" i="18"/>
  <c r="E82" i="18"/>
  <c r="D82" i="18"/>
  <c r="C82" i="18"/>
  <c r="A82" i="18"/>
  <c r="E81" i="18"/>
  <c r="D81" i="18"/>
  <c r="C81" i="18"/>
  <c r="A81" i="18"/>
  <c r="A79" i="18"/>
  <c r="C66" i="18"/>
  <c r="A66" i="18"/>
  <c r="C65" i="18"/>
  <c r="A65" i="18"/>
  <c r="C64" i="18"/>
  <c r="A64" i="18"/>
  <c r="C63" i="18"/>
  <c r="A63" i="18"/>
  <c r="C62" i="18"/>
  <c r="A62" i="18"/>
  <c r="C61" i="18"/>
  <c r="A61" i="18"/>
  <c r="D60" i="18"/>
  <c r="A60" i="18"/>
  <c r="S57" i="15"/>
  <c r="S58" i="15"/>
  <c r="S59" i="15"/>
  <c r="S60" i="15"/>
  <c r="S61" i="15"/>
  <c r="S62" i="15"/>
  <c r="S63" i="15"/>
  <c r="S64" i="15"/>
  <c r="S65" i="15"/>
  <c r="S66" i="15"/>
  <c r="S67" i="15"/>
  <c r="S68" i="15"/>
  <c r="S69" i="15"/>
  <c r="S70" i="15"/>
  <c r="S56" i="15"/>
  <c r="S55" i="15"/>
  <c r="I6" i="8"/>
  <c r="G3" i="29" s="1"/>
  <c r="F6" i="8"/>
  <c r="G10" i="29" s="1"/>
  <c r="S74" i="15"/>
  <c r="S75" i="15"/>
  <c r="S76" i="15"/>
  <c r="S77" i="15"/>
  <c r="S78" i="15"/>
  <c r="S79" i="15"/>
  <c r="S80" i="15"/>
  <c r="S81" i="15"/>
  <c r="S82" i="15"/>
  <c r="S83" i="15"/>
  <c r="S84" i="15"/>
  <c r="S85" i="15"/>
  <c r="S86" i="15"/>
  <c r="S87" i="15"/>
  <c r="S88" i="15"/>
  <c r="S73" i="15"/>
  <c r="S71" i="15"/>
  <c r="S38" i="15"/>
  <c r="S42" i="15"/>
  <c r="S43" i="15"/>
  <c r="S44" i="15"/>
  <c r="S45" i="15"/>
  <c r="S46" i="15"/>
  <c r="S47" i="15"/>
  <c r="S48" i="15"/>
  <c r="S49" i="15"/>
  <c r="S50" i="15"/>
  <c r="S51" i="15"/>
  <c r="S52" i="15"/>
  <c r="S53" i="15"/>
  <c r="S54" i="15"/>
  <c r="S40" i="15"/>
  <c r="S41" i="15"/>
  <c r="S39" i="15"/>
  <c r="I103" i="8"/>
  <c r="B6" i="8"/>
  <c r="D8" i="29" s="1"/>
  <c r="H6" i="8"/>
  <c r="D7" i="29" s="1"/>
  <c r="G6" i="8"/>
  <c r="E6" i="8"/>
  <c r="A25" i="29" s="1"/>
  <c r="D6" i="8"/>
  <c r="D27" i="29" s="1"/>
  <c r="C6" i="8"/>
  <c r="D10" i="29" s="1"/>
  <c r="I13" i="8"/>
  <c r="D51" i="29" s="1"/>
  <c r="I12" i="8"/>
  <c r="D50" i="29" s="1"/>
  <c r="I11" i="8"/>
  <c r="D48" i="29" s="1"/>
  <c r="I10" i="8"/>
  <c r="I9" i="8"/>
  <c r="J25" i="8"/>
  <c r="P39" i="15"/>
  <c r="Q39" i="15" s="1"/>
  <c r="P40" i="15"/>
  <c r="Q40" i="15"/>
  <c r="P41" i="15"/>
  <c r="Q41" i="15" s="1"/>
  <c r="P42" i="15"/>
  <c r="P43" i="15"/>
  <c r="Q43" i="15" s="1"/>
  <c r="P44" i="15"/>
  <c r="Q44" i="15"/>
  <c r="P45" i="15"/>
  <c r="Q45" i="15" s="1"/>
  <c r="P46" i="15"/>
  <c r="P47" i="15"/>
  <c r="Q47" i="15" s="1"/>
  <c r="P48" i="15"/>
  <c r="Q48" i="15"/>
  <c r="P49" i="15"/>
  <c r="Q49" i="15" s="1"/>
  <c r="P50" i="15"/>
  <c r="P51" i="15"/>
  <c r="Q51" i="15" s="1"/>
  <c r="P52" i="15"/>
  <c r="Q52" i="15"/>
  <c r="P53" i="15"/>
  <c r="Q53" i="15" s="1"/>
  <c r="P54" i="15"/>
  <c r="P55" i="15"/>
  <c r="Q55" i="15" s="1"/>
  <c r="P56" i="15"/>
  <c r="Q56" i="15"/>
  <c r="P57" i="15"/>
  <c r="Q57" i="15" s="1"/>
  <c r="P58" i="15"/>
  <c r="P59" i="15"/>
  <c r="Q59" i="15" s="1"/>
  <c r="P60" i="15"/>
  <c r="Q60" i="15"/>
  <c r="P61" i="15"/>
  <c r="Q61" i="15" s="1"/>
  <c r="P62" i="15"/>
  <c r="P63" i="15"/>
  <c r="Q63" i="15" s="1"/>
  <c r="P64" i="15"/>
  <c r="Q64" i="15"/>
  <c r="P65" i="15"/>
  <c r="Q65" i="15" s="1"/>
  <c r="P66" i="15"/>
  <c r="P67" i="15"/>
  <c r="Q67" i="15" s="1"/>
  <c r="P68" i="15"/>
  <c r="Q68" i="15"/>
  <c r="P69" i="15"/>
  <c r="Q69" i="15" s="1"/>
  <c r="P70" i="15"/>
  <c r="P71" i="15"/>
  <c r="Q71" i="15" s="1"/>
  <c r="P72" i="15"/>
  <c r="Q72" i="15"/>
  <c r="P73" i="15"/>
  <c r="Q73" i="15" s="1"/>
  <c r="P74" i="15"/>
  <c r="P75" i="15"/>
  <c r="Q75" i="15" s="1"/>
  <c r="P76" i="15"/>
  <c r="Q76" i="15"/>
  <c r="P77" i="15"/>
  <c r="Q77" i="15" s="1"/>
  <c r="P78" i="15"/>
  <c r="P79" i="15"/>
  <c r="Q79" i="15" s="1"/>
  <c r="P80" i="15"/>
  <c r="Q80" i="15"/>
  <c r="P81" i="15"/>
  <c r="Q81" i="15" s="1"/>
  <c r="P82" i="15"/>
  <c r="P83" i="15"/>
  <c r="Q83" i="15" s="1"/>
  <c r="P84" i="15"/>
  <c r="Q84" i="15"/>
  <c r="P85" i="15"/>
  <c r="Q85" i="15" s="1"/>
  <c r="P86" i="15"/>
  <c r="P87" i="15"/>
  <c r="Q87" i="15" s="1"/>
  <c r="P88" i="15"/>
  <c r="Q88" i="15"/>
  <c r="P38" i="15"/>
  <c r="Q38" i="15" s="1"/>
  <c r="P29" i="15"/>
  <c r="Q29" i="15"/>
  <c r="P30" i="15"/>
  <c r="Q30" i="15" s="1"/>
  <c r="P31" i="15"/>
  <c r="Q31" i="15"/>
  <c r="P32" i="15"/>
  <c r="Q32" i="15" s="1"/>
  <c r="G23" i="8"/>
  <c r="N130" i="8" s="1"/>
  <c r="R131" i="8" s="1"/>
  <c r="U131" i="8" s="1"/>
  <c r="E26" i="8"/>
  <c r="B26" i="8"/>
  <c r="J24" i="8"/>
  <c r="J23" i="8"/>
  <c r="J22" i="8"/>
  <c r="J21" i="8"/>
  <c r="G24" i="8"/>
  <c r="K96" i="8" s="1"/>
  <c r="Q96" i="8" s="1"/>
  <c r="G21" i="8"/>
  <c r="D15" i="8"/>
  <c r="D21" i="29" s="1"/>
  <c r="D13" i="8"/>
  <c r="D19" i="29" s="1"/>
  <c r="D12" i="8"/>
  <c r="D18" i="29" s="1"/>
  <c r="D11" i="8"/>
  <c r="D16" i="29" s="1"/>
  <c r="D10" i="8"/>
  <c r="D17" i="29" s="1"/>
  <c r="D9" i="8"/>
  <c r="D15" i="29" s="1"/>
  <c r="T74" i="15"/>
  <c r="T75" i="15"/>
  <c r="T76" i="15"/>
  <c r="T77" i="15"/>
  <c r="T78" i="15" s="1"/>
  <c r="T79" i="15" s="1"/>
  <c r="T80" i="15" s="1"/>
  <c r="T81" i="15" s="1"/>
  <c r="T82" i="15" s="1"/>
  <c r="T83" i="15" s="1"/>
  <c r="T84" i="15" s="1"/>
  <c r="T85" i="15" s="1"/>
  <c r="T86" i="15" s="1"/>
  <c r="T87" i="15" s="1"/>
  <c r="T88" i="15" s="1"/>
  <c r="T56" i="15"/>
  <c r="T57" i="15" s="1"/>
  <c r="T58" i="15" s="1"/>
  <c r="T59" i="15" s="1"/>
  <c r="T60" i="15" s="1"/>
  <c r="T61" i="15" s="1"/>
  <c r="T62" i="15" s="1"/>
  <c r="T63" i="15" s="1"/>
  <c r="T64" i="15" s="1"/>
  <c r="T65" i="15" s="1"/>
  <c r="T66" i="15" s="1"/>
  <c r="T67" i="15" s="1"/>
  <c r="T68" i="15" s="1"/>
  <c r="T69" i="15" s="1"/>
  <c r="T70" i="15" s="1"/>
  <c r="T39" i="15"/>
  <c r="T40" i="15"/>
  <c r="T41" i="15" s="1"/>
  <c r="T42" i="15" s="1"/>
  <c r="T43" i="15" s="1"/>
  <c r="T44" i="15" s="1"/>
  <c r="T45" i="15" s="1"/>
  <c r="T46" i="15" s="1"/>
  <c r="T47" i="15" s="1"/>
  <c r="T48" i="15" s="1"/>
  <c r="T49" i="15" s="1"/>
  <c r="T50" i="15" s="1"/>
  <c r="T51" i="15" s="1"/>
  <c r="T52" i="15" s="1"/>
  <c r="T53" i="15" s="1"/>
  <c r="T54" i="15" s="1"/>
  <c r="L74" i="8"/>
  <c r="F120" i="8"/>
  <c r="M119" i="8" s="1"/>
  <c r="J89" i="8"/>
  <c r="I89" i="8"/>
  <c r="H89" i="8"/>
  <c r="G89" i="8"/>
  <c r="F89" i="8"/>
  <c r="I58" i="8"/>
  <c r="J58" i="8" s="1"/>
  <c r="B112" i="8" s="1"/>
  <c r="I57" i="8"/>
  <c r="J57" i="8" s="1"/>
  <c r="B111" i="8" s="1"/>
  <c r="I56" i="8"/>
  <c r="J56" i="8" s="1"/>
  <c r="B110" i="8" s="1"/>
  <c r="I55" i="8"/>
  <c r="J55" i="8" s="1"/>
  <c r="B109" i="8" s="1"/>
  <c r="D50" i="8"/>
  <c r="E50" i="8" s="1"/>
  <c r="C50" i="8"/>
  <c r="D49" i="8"/>
  <c r="E49" i="8" s="1"/>
  <c r="C49" i="8"/>
  <c r="C48" i="8"/>
  <c r="A46" i="8"/>
  <c r="E79" i="29" s="1"/>
  <c r="A45" i="8"/>
  <c r="D79" i="29" s="1"/>
  <c r="A44" i="8"/>
  <c r="C79" i="29" s="1"/>
  <c r="H23" i="8"/>
  <c r="B57" i="8" s="1"/>
  <c r="H22" i="8"/>
  <c r="B56" i="8" s="1"/>
  <c r="D56" i="8" s="1"/>
  <c r="C26" i="8"/>
  <c r="H24" i="8"/>
  <c r="B58" i="8" s="1"/>
  <c r="D62" i="18" l="1"/>
  <c r="D53" i="18"/>
  <c r="D66" i="18"/>
  <c r="I75" i="8"/>
  <c r="G76" i="8"/>
  <c r="A109" i="29"/>
  <c r="A101" i="29"/>
  <c r="C28" i="8"/>
  <c r="D10" i="28"/>
  <c r="E10" i="28"/>
  <c r="D9" i="28"/>
  <c r="G65" i="8"/>
  <c r="E38" i="29" s="1"/>
  <c r="C10" i="28"/>
  <c r="E9" i="28"/>
  <c r="C9" i="28"/>
  <c r="I65" i="8"/>
  <c r="F38" i="29" s="1"/>
  <c r="E65" i="8"/>
  <c r="D38" i="29" s="1"/>
  <c r="D64" i="18"/>
  <c r="G161" i="29"/>
  <c r="G43" i="29"/>
  <c r="G75" i="29"/>
  <c r="G120" i="29"/>
  <c r="H29" i="8"/>
  <c r="J28" i="8"/>
  <c r="G64" i="8"/>
  <c r="E37" i="29" s="1"/>
  <c r="E56" i="8"/>
  <c r="D99" i="29"/>
  <c r="E64" i="8"/>
  <c r="D37" i="29" s="1"/>
  <c r="J75" i="8"/>
  <c r="K93" i="8"/>
  <c r="Q93" i="8" s="1"/>
  <c r="D53" i="29"/>
  <c r="D6" i="18"/>
  <c r="D6" i="29"/>
  <c r="E29" i="8"/>
  <c r="A99" i="29"/>
  <c r="A107" i="29"/>
  <c r="I64" i="8"/>
  <c r="F37" i="29" s="1"/>
  <c r="G28" i="8"/>
  <c r="N128" i="8"/>
  <c r="R129" i="8" s="1"/>
  <c r="U129" i="8" s="1"/>
  <c r="D79" i="18"/>
  <c r="D20" i="18"/>
  <c r="F75" i="8"/>
  <c r="H76" i="8"/>
  <c r="C60" i="18"/>
  <c r="D19" i="18"/>
  <c r="D15" i="18"/>
  <c r="G25" i="8"/>
  <c r="K97" i="8" s="1"/>
  <c r="H79" i="8"/>
  <c r="H82" i="8" s="1"/>
  <c r="H96" i="8" s="1"/>
  <c r="D50" i="18"/>
  <c r="F70" i="8"/>
  <c r="D48" i="18"/>
  <c r="D52" i="18"/>
  <c r="I79" i="8"/>
  <c r="I82" i="8" s="1"/>
  <c r="I96" i="8" s="1"/>
  <c r="N129" i="8"/>
  <c r="R130" i="8" s="1"/>
  <c r="U130" i="8" s="1"/>
  <c r="G70" i="8"/>
  <c r="G79" i="8"/>
  <c r="G82" i="8" s="1"/>
  <c r="G96" i="8" s="1"/>
  <c r="F79" i="8"/>
  <c r="F82" i="8" s="1"/>
  <c r="F96" i="8" s="1"/>
  <c r="K58" i="8"/>
  <c r="M96" i="8" s="1"/>
  <c r="C109" i="29" s="1"/>
  <c r="K56" i="8"/>
  <c r="M94" i="8" s="1"/>
  <c r="F48" i="8"/>
  <c r="F74" i="8" s="1"/>
  <c r="D65" i="18"/>
  <c r="G38" i="8"/>
  <c r="E38" i="8"/>
  <c r="C38" i="8"/>
  <c r="D63" i="18"/>
  <c r="F38" i="8"/>
  <c r="D38" i="8"/>
  <c r="A101" i="18"/>
  <c r="A109" i="18"/>
  <c r="N131" i="8"/>
  <c r="R132" i="8" s="1"/>
  <c r="U132" i="8" s="1"/>
  <c r="D58" i="8"/>
  <c r="D101" i="29" s="1"/>
  <c r="I70" i="8"/>
  <c r="D57" i="8"/>
  <c r="K57" i="8"/>
  <c r="H70" i="8"/>
  <c r="I25" i="8"/>
  <c r="J80" i="8" s="1"/>
  <c r="K95" i="8"/>
  <c r="Q95" i="8" s="1"/>
  <c r="H25" i="8"/>
  <c r="B59" i="8" s="1"/>
  <c r="D59" i="8" s="1"/>
  <c r="D102" i="29" s="1"/>
  <c r="A107" i="18"/>
  <c r="D99" i="18"/>
  <c r="A99" i="18"/>
  <c r="A106" i="18"/>
  <c r="A98" i="18"/>
  <c r="E55" i="8"/>
  <c r="D98" i="18"/>
  <c r="B50" i="8"/>
  <c r="E79" i="18"/>
  <c r="B49" i="8"/>
  <c r="C79" i="18"/>
  <c r="B48" i="8"/>
  <c r="G34" i="8"/>
  <c r="D51" i="18"/>
  <c r="D18" i="18"/>
  <c r="D17" i="18"/>
  <c r="J76" i="8"/>
  <c r="D21" i="18"/>
  <c r="F76" i="8"/>
  <c r="G75" i="8"/>
  <c r="D16" i="18"/>
  <c r="D7" i="18"/>
  <c r="I76" i="8"/>
  <c r="H75" i="8"/>
  <c r="A25" i="18"/>
  <c r="D27" i="18"/>
  <c r="D10" i="18"/>
  <c r="D8" i="18"/>
  <c r="G10" i="18"/>
  <c r="K55" i="8"/>
  <c r="G3" i="18"/>
  <c r="Q97" i="8" l="1"/>
  <c r="Q91" i="8" s="1"/>
  <c r="F38" i="18"/>
  <c r="E38" i="18"/>
  <c r="D38" i="18"/>
  <c r="E37" i="18"/>
  <c r="D37" i="18"/>
  <c r="F37" i="18"/>
  <c r="A100" i="29"/>
  <c r="A108" i="29"/>
  <c r="D100" i="18"/>
  <c r="D100" i="29"/>
  <c r="C107" i="18"/>
  <c r="C7" i="25" s="1"/>
  <c r="C107" i="29"/>
  <c r="A110" i="18"/>
  <c r="A102" i="29"/>
  <c r="A110" i="29"/>
  <c r="A98" i="29"/>
  <c r="A106" i="29"/>
  <c r="C119" i="8"/>
  <c r="L56" i="8"/>
  <c r="L94" i="8" s="1"/>
  <c r="C110" i="8" s="1"/>
  <c r="K59" i="8"/>
  <c r="M97" i="8" s="1"/>
  <c r="C110" i="29" s="1"/>
  <c r="L58" i="8"/>
  <c r="L96" i="8" s="1"/>
  <c r="C112" i="8" s="1"/>
  <c r="J79" i="8"/>
  <c r="J82" i="8" s="1"/>
  <c r="J96" i="8" s="1"/>
  <c r="J74" i="8"/>
  <c r="H74" i="8"/>
  <c r="C121" i="8"/>
  <c r="G74" i="8"/>
  <c r="I74" i="8"/>
  <c r="C39" i="8"/>
  <c r="C109" i="18"/>
  <c r="C9" i="25" s="1"/>
  <c r="N132" i="8"/>
  <c r="R133" i="8" s="1"/>
  <c r="D101" i="18"/>
  <c r="E58" i="8"/>
  <c r="J70" i="8"/>
  <c r="A108" i="18"/>
  <c r="A100" i="18"/>
  <c r="L57" i="8"/>
  <c r="L95" i="8" s="1"/>
  <c r="C111" i="8" s="1"/>
  <c r="M95" i="8"/>
  <c r="C108" i="29" s="1"/>
  <c r="E57" i="8"/>
  <c r="A102" i="18"/>
  <c r="L55" i="8"/>
  <c r="L93" i="8" s="1"/>
  <c r="C109" i="8" s="1"/>
  <c r="M93" i="8"/>
  <c r="C106" i="29" s="1"/>
  <c r="D102" i="18"/>
  <c r="E59" i="8"/>
  <c r="G43" i="18"/>
  <c r="F176" i="29" s="1"/>
  <c r="G75" i="18"/>
  <c r="G161" i="18"/>
  <c r="G120" i="18"/>
  <c r="C120" i="8" l="1"/>
  <c r="D67" i="29"/>
  <c r="H73" i="8"/>
  <c r="H77" i="8" s="1"/>
  <c r="H91" i="8" s="1"/>
  <c r="J73" i="8"/>
  <c r="M85" i="8" s="1"/>
  <c r="F73" i="8"/>
  <c r="F77" i="8" s="1"/>
  <c r="F91" i="8" s="1"/>
  <c r="I73" i="8"/>
  <c r="I77" i="8" s="1"/>
  <c r="I91" i="8" s="1"/>
  <c r="G73" i="8"/>
  <c r="G77" i="8" s="1"/>
  <c r="L59" i="8"/>
  <c r="L97" i="8" s="1"/>
  <c r="C113" i="8" s="1"/>
  <c r="R134" i="8"/>
  <c r="V129" i="8" s="1"/>
  <c r="U133" i="8"/>
  <c r="U134" i="8" s="1"/>
  <c r="D67" i="18"/>
  <c r="C108" i="18"/>
  <c r="C8" i="25" s="1"/>
  <c r="C106" i="18"/>
  <c r="C6" i="25" s="1"/>
  <c r="C110" i="18"/>
  <c r="C10" i="25" s="1"/>
  <c r="M86" i="8" l="1"/>
  <c r="N85" i="8" s="1"/>
  <c r="F84" i="8"/>
  <c r="N93" i="8" s="1"/>
  <c r="O93" i="8" s="1"/>
  <c r="G84" i="8"/>
  <c r="N94" i="8" s="1"/>
  <c r="P94" i="8" s="1"/>
  <c r="G91" i="8"/>
  <c r="J77" i="8"/>
  <c r="I84" i="8"/>
  <c r="D112" i="8" s="1"/>
  <c r="E112" i="8" s="1"/>
  <c r="F112" i="8" s="1"/>
  <c r="H84" i="8"/>
  <c r="D111" i="8" s="1"/>
  <c r="E111" i="8" s="1"/>
  <c r="F111" i="8" s="1"/>
  <c r="D106" i="18" l="1"/>
  <c r="E106" i="18" s="1"/>
  <c r="D106" i="29"/>
  <c r="E106" i="29" s="1"/>
  <c r="F98" i="8"/>
  <c r="F101" i="8" s="1"/>
  <c r="P93" i="8"/>
  <c r="D109" i="8"/>
  <c r="E109" i="8" s="1"/>
  <c r="F109" i="8" s="1"/>
  <c r="O94" i="8"/>
  <c r="D110" i="8"/>
  <c r="E110" i="8" s="1"/>
  <c r="F110" i="8" s="1"/>
  <c r="G98" i="8"/>
  <c r="G101" i="8" s="1"/>
  <c r="G112" i="8"/>
  <c r="J84" i="8"/>
  <c r="M81" i="8" s="1"/>
  <c r="J91" i="8"/>
  <c r="N96" i="8"/>
  <c r="P96" i="8" s="1"/>
  <c r="I98" i="8"/>
  <c r="I101" i="8" s="1"/>
  <c r="G111" i="8"/>
  <c r="H98" i="8"/>
  <c r="H101" i="8" s="1"/>
  <c r="N95" i="8"/>
  <c r="D107" i="29" l="1"/>
  <c r="E107" i="29" s="1"/>
  <c r="D107" i="18"/>
  <c r="E107" i="18" s="1"/>
  <c r="G109" i="8"/>
  <c r="G110" i="8"/>
  <c r="N97" i="8"/>
  <c r="P97" i="8" s="1"/>
  <c r="M80" i="8"/>
  <c r="J98" i="8"/>
  <c r="J101" i="8" s="1"/>
  <c r="F121" i="8" s="1"/>
  <c r="M74" i="8"/>
  <c r="M76" i="8"/>
  <c r="M79" i="8"/>
  <c r="M75" i="8"/>
  <c r="D113" i="8"/>
  <c r="E113" i="8" s="1"/>
  <c r="F113" i="8" s="1"/>
  <c r="F114" i="8" s="1"/>
  <c r="M73" i="8"/>
  <c r="O96" i="8"/>
  <c r="P95" i="8"/>
  <c r="O95" i="8"/>
  <c r="O97" i="8"/>
  <c r="D6" i="25"/>
  <c r="E6" i="25" s="1"/>
  <c r="D109" i="29" l="1"/>
  <c r="E109" i="29" s="1"/>
  <c r="D109" i="18"/>
  <c r="D110" i="18"/>
  <c r="D110" i="29"/>
  <c r="D108" i="18"/>
  <c r="D108" i="29"/>
  <c r="E108" i="29" s="1"/>
  <c r="D7" i="25"/>
  <c r="E7" i="25" s="1"/>
  <c r="E110" i="29"/>
  <c r="M82" i="8"/>
  <c r="G113" i="8"/>
  <c r="G114" i="8" s="1"/>
  <c r="C118" i="8" s="1"/>
  <c r="C116" i="8" l="1"/>
  <c r="H110" i="8" s="1"/>
  <c r="E109" i="18"/>
  <c r="D9" i="25"/>
  <c r="E9" i="25" s="1"/>
  <c r="D8" i="25"/>
  <c r="E8" i="25" s="1"/>
  <c r="E108" i="18"/>
  <c r="E110" i="18"/>
  <c r="D10" i="25"/>
  <c r="E10" i="25" s="1"/>
  <c r="F140" i="8" l="1"/>
  <c r="F141" i="8" s="1"/>
  <c r="H113" i="8"/>
  <c r="H111" i="8"/>
  <c r="H109" i="8"/>
  <c r="C117" i="8"/>
  <c r="I109" i="8" s="1"/>
  <c r="H112" i="8"/>
  <c r="F6" i="25"/>
  <c r="G6" i="25"/>
  <c r="D151" i="18" l="1"/>
  <c r="D151" i="29"/>
  <c r="H114" i="8"/>
  <c r="F118" i="8" s="1"/>
  <c r="K119" i="8" s="1"/>
  <c r="K120" i="8" s="1"/>
  <c r="E135" i="8"/>
  <c r="I111" i="8"/>
  <c r="K111" i="8" s="1"/>
  <c r="O130" i="8" s="1"/>
  <c r="S131" i="8" s="1"/>
  <c r="T131" i="8" s="1"/>
  <c r="G135" i="8"/>
  <c r="I110" i="8"/>
  <c r="I113" i="8"/>
  <c r="J113" i="8" s="1"/>
  <c r="I112" i="8"/>
  <c r="J112" i="8" s="1"/>
  <c r="J109" i="8"/>
  <c r="K109" i="8"/>
  <c r="K113" i="8" l="1"/>
  <c r="O132" i="8" s="1"/>
  <c r="S133" i="8" s="1"/>
  <c r="T133" i="8" s="1"/>
  <c r="J111" i="8"/>
  <c r="K112" i="8"/>
  <c r="O131" i="8" s="1"/>
  <c r="S132" i="8" s="1"/>
  <c r="T132" i="8" s="1"/>
  <c r="I114" i="8"/>
  <c r="K110" i="8"/>
  <c r="O129" i="8" s="1"/>
  <c r="S130" i="8" s="1"/>
  <c r="T130" i="8" s="1"/>
  <c r="J110" i="8"/>
  <c r="O128" i="8"/>
  <c r="D125" i="8" l="1"/>
  <c r="M140" i="8" s="1"/>
  <c r="M141" i="8" s="1"/>
  <c r="C155" i="29" s="1"/>
  <c r="Y129" i="8"/>
  <c r="S129" i="8"/>
  <c r="D124" i="8"/>
  <c r="O140" i="8" s="1"/>
  <c r="O141" i="8" s="1"/>
  <c r="E155" i="29" s="1"/>
  <c r="E136" i="8" l="1"/>
  <c r="H125" i="8"/>
  <c r="G136" i="8"/>
  <c r="T129" i="8"/>
  <c r="T134" i="8" s="1"/>
  <c r="X129" i="8"/>
  <c r="S134" i="8"/>
  <c r="W129" i="8" s="1"/>
  <c r="E155" i="18"/>
  <c r="H8" i="25"/>
  <c r="I8" i="25" s="1"/>
  <c r="H9" i="25"/>
  <c r="I9" i="25" s="1"/>
  <c r="C155" i="18"/>
  <c r="H10" i="25"/>
  <c r="I10" i="25" s="1"/>
  <c r="D23" i="25" s="1"/>
  <c r="H7" i="25"/>
  <c r="I7" i="25" s="1"/>
  <c r="G21" i="25"/>
  <c r="H21" i="25" s="1"/>
  <c r="H6" i="25"/>
  <c r="I6" i="25" s="1"/>
  <c r="L112" i="8" l="1"/>
  <c r="M112" i="8" s="1"/>
  <c r="L113" i="8"/>
  <c r="M113" i="8" s="1"/>
  <c r="L109" i="8"/>
  <c r="M109" i="8" s="1"/>
  <c r="L110" i="8"/>
  <c r="M110" i="8" s="1"/>
  <c r="L111" i="8"/>
  <c r="M111" i="8" s="1"/>
</calcChain>
</file>

<file path=xl/comments1.xml><?xml version="1.0" encoding="utf-8"?>
<comments xmlns="http://schemas.openxmlformats.org/spreadsheetml/2006/main">
  <authors>
    <author>Elvis Aguirre Romero</author>
  </authors>
  <commentList>
    <comment ref="C33" authorId="0">
      <text>
        <r>
          <rPr>
            <sz val="9"/>
            <color indexed="81"/>
            <rFont val="Tahoma"/>
            <family val="2"/>
          </rPr>
          <t xml:space="preserve">TENER ENCUENTA LA CARGA MAXIMA SEGÚN LA BALANZA A CALIBRAR
</t>
        </r>
      </text>
    </comment>
  </commentList>
</comments>
</file>

<file path=xl/comments2.xml><?xml version="1.0" encoding="utf-8"?>
<comments xmlns="http://schemas.openxmlformats.org/spreadsheetml/2006/main">
  <authors>
    <author>EQUIPO01</author>
    <author>Elvis Aguirre Romero</author>
    <author>STIVINSON</author>
  </authors>
  <commentList>
    <comment ref="B37" authorId="0">
      <text>
        <r>
          <rPr>
            <b/>
            <sz val="9"/>
            <color indexed="81"/>
            <rFont val="Tahoma"/>
            <family val="2"/>
          </rPr>
          <t>SIM MWG7/cg-01v.00, 
Ecuación 6.3.1</t>
        </r>
        <r>
          <rPr>
            <sz val="9"/>
            <color indexed="81"/>
            <rFont val="Tahoma"/>
            <family val="2"/>
          </rPr>
          <t xml:space="preserve">
</t>
        </r>
      </text>
    </comment>
    <comment ref="D47" authorId="0">
      <text>
        <r>
          <rPr>
            <b/>
            <sz val="9"/>
            <color indexed="81"/>
            <rFont val="Tahoma"/>
            <family val="2"/>
          </rPr>
          <t xml:space="preserve">Ecuación </t>
        </r>
        <r>
          <rPr>
            <sz val="9"/>
            <color indexed="81"/>
            <rFont val="Tahoma"/>
            <family val="2"/>
          </rPr>
          <t>6.1-1
SIM MWG7/cg-01v.00</t>
        </r>
      </text>
    </comment>
    <comment ref="A73" authorId="1">
      <text>
        <r>
          <rPr>
            <sz val="9"/>
            <color indexed="81"/>
            <rFont val="Tahoma"/>
            <family val="2"/>
          </rPr>
          <t>Ecuación 7.1.1-10
SIM MWG7/cg-01v.00.</t>
        </r>
      </text>
    </comment>
    <comment ref="A74" authorId="1">
      <text>
        <r>
          <rPr>
            <sz val="9"/>
            <color indexed="81"/>
            <rFont val="Tahoma"/>
            <family val="2"/>
          </rPr>
          <t>Ecuación 7.1.1-5
SIM MWG7/cg-01v.00</t>
        </r>
      </text>
    </comment>
    <comment ref="A75" authorId="1">
      <text>
        <r>
          <rPr>
            <sz val="9"/>
            <color indexed="81"/>
            <rFont val="Tahoma"/>
            <family val="2"/>
          </rPr>
          <t xml:space="preserve">Ecuación 7.1.1-3 a
SIM MWG7/cg-01v.00, </t>
        </r>
      </text>
    </comment>
    <comment ref="A76" authorId="1">
      <text>
        <r>
          <rPr>
            <sz val="9"/>
            <color indexed="81"/>
            <rFont val="Tahoma"/>
            <family val="2"/>
          </rPr>
          <t xml:space="preserve">Ecuación 7.1.1-3 b
SIM MWG7/cg-01v.00
</t>
        </r>
      </text>
    </comment>
    <comment ref="A79" authorId="1">
      <text>
        <r>
          <rPr>
            <sz val="9"/>
            <color indexed="81"/>
            <rFont val="Tahoma"/>
            <family val="2"/>
          </rPr>
          <t>Ecuación 7.1.2-2
SIM MWG7/cg-01v.00</t>
        </r>
      </text>
    </comment>
    <comment ref="A81" authorId="2">
      <text>
        <r>
          <rPr>
            <sz val="9"/>
            <color indexed="81"/>
            <rFont val="Tahoma"/>
            <family val="2"/>
          </rPr>
          <t>Ecuación 7.1.2-11
SIM MWG7/cg-01v.00</t>
        </r>
      </text>
    </comment>
    <comment ref="C82" authorId="1">
      <text>
        <r>
          <rPr>
            <sz val="9"/>
            <color indexed="81"/>
            <rFont val="Tahoma"/>
            <family val="2"/>
          </rPr>
          <t xml:space="preserve">Ecuación 7.1.2-14
SIM MWG7/cg-01v.00
</t>
        </r>
      </text>
    </comment>
    <comment ref="N91" authorId="1">
      <text>
        <r>
          <rPr>
            <sz val="9"/>
            <color indexed="81"/>
            <rFont val="Tahoma"/>
            <family val="2"/>
          </rPr>
          <t>Ecuación 7.3-1
Incertidumbre estándar del error (mg)*2
SIM MWG7/cg-01v.00</t>
        </r>
      </text>
    </comment>
  </commentList>
</comments>
</file>

<file path=xl/sharedStrings.xml><?xml version="1.0" encoding="utf-8"?>
<sst xmlns="http://schemas.openxmlformats.org/spreadsheetml/2006/main" count="952" uniqueCount="502">
  <si>
    <t>Clase</t>
  </si>
  <si>
    <t>Serial</t>
  </si>
  <si>
    <t>Certificado N°</t>
  </si>
  <si>
    <t>Fabricante</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</si>
  <si>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</si>
  <si>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</si>
  <si>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</si>
  <si>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</si>
  <si>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</si>
  <si>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</si>
  <si>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</si>
  <si>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</si>
  <si>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</si>
  <si>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</si>
  <si>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</si>
  <si>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</si>
  <si>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</si>
  <si>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</si>
  <si>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</si>
  <si>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</si>
  <si>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</si>
  <si>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</si>
  <si>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</si>
  <si>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Incertidumbre por pesas patrón</t>
  </si>
  <si>
    <t>Distribución</t>
  </si>
  <si>
    <t>Cargas de prueba (g)</t>
  </si>
  <si>
    <t>GRADOS EFECTIVOS DE LIBERTAD</t>
  </si>
  <si>
    <t>GRADOS EFECTIVOS DE LIBERTAD DEL ERROR</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</si>
  <si>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</si>
  <si>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</si>
  <si>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</si>
  <si>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</si>
  <si>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</si>
  <si>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</si>
  <si>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</si>
  <si>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</si>
  <si>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</si>
  <si>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</si>
  <si>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</si>
  <si>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</si>
  <si>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</si>
  <si>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</si>
  <si>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</si>
  <si>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</si>
  <si>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</si>
  <si>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</si>
  <si>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</si>
  <si>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</si>
  <si>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</si>
  <si>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</si>
  <si>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</si>
  <si>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</si>
  <si>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</si>
  <si>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</si>
  <si>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</si>
  <si>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</si>
  <si>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</si>
  <si>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</si>
  <si>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</si>
  <si>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</si>
  <si>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</si>
  <si>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</si>
  <si>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</si>
  <si>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</si>
  <si>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</si>
  <si>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</si>
  <si>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</si>
  <si>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</si>
  <si>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</si>
  <si>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</si>
  <si>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</si>
  <si>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</si>
  <si>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Figura 1</t>
  </si>
  <si>
    <t>Prueba de excentricidad.</t>
  </si>
  <si>
    <t>INDICACIÓN g</t>
  </si>
  <si>
    <t>Prueba de repetibilidad.</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</si>
  <si>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</si>
  <si>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</si>
  <si>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</si>
  <si>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</si>
  <si>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</si>
  <si>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</si>
  <si>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</si>
  <si>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</si>
  <si>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</si>
  <si>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</si>
  <si>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 xml:space="preserve">  la  pendiente</t>
  </si>
  <si>
    <t>punto  de  corte</t>
  </si>
  <si>
    <t>N=</t>
  </si>
  <si>
    <t xml:space="preserve">Observaciones </t>
  </si>
  <si>
    <t>Calibrado por</t>
  </si>
  <si>
    <t xml:space="preserve">    ______________________________</t>
  </si>
  <si>
    <t>E (R)  (mg) =</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</si>
  <si>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</si>
  <si>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</si>
  <si>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</si>
  <si>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</si>
  <si>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</si>
  <si>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</si>
  <si>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</si>
  <si>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</si>
  <si>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</si>
  <si>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</si>
  <si>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</si>
  <si>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</si>
  <si>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</si>
  <si>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</si>
  <si>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</si>
  <si>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</si>
  <si>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Pesas</t>
  </si>
  <si>
    <t>Marcación</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</si>
  <si>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</si>
  <si>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</si>
  <si>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</si>
  <si>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</si>
  <si>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</si>
  <si>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</si>
  <si>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</si>
  <si>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</si>
  <si>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</si>
  <si>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</si>
  <si>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</si>
  <si>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</si>
  <si>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</si>
  <si>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</si>
  <si>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</si>
  <si>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</si>
  <si>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</si>
  <si>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</si>
  <si>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</si>
  <si>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</si>
  <si>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</si>
  <si>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</si>
  <si>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</si>
  <si>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</si>
  <si>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</si>
  <si>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</si>
  <si>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</si>
  <si>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</si>
  <si>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</si>
  <si>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</si>
  <si>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</si>
  <si>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</si>
  <si>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</si>
  <si>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</si>
  <si>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</si>
  <si>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</si>
  <si>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</si>
  <si>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</si>
  <si>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</si>
  <si>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</si>
  <si>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</si>
  <si>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</si>
  <si>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</si>
  <si>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</si>
  <si>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</si>
  <si>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</si>
  <si>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</si>
  <si>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</si>
  <si>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</si>
  <si>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</si>
  <si>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</si>
  <si>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</si>
  <si>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</si>
  <si>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</si>
  <si>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</si>
  <si>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</si>
  <si>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</si>
  <si>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</si>
  <si>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</si>
  <si>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</si>
  <si>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</si>
  <si>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</si>
  <si>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</si>
  <si>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</si>
  <si>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</si>
  <si>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</si>
  <si>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</si>
  <si>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</si>
  <si>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</si>
  <si>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</si>
  <si>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</si>
  <si>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</si>
  <si>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</si>
  <si>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</si>
  <si>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</si>
  <si>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</si>
  <si>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</si>
  <si>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</si>
  <si>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</si>
  <si>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</si>
  <si>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</si>
  <si>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CMC Balanza</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</si>
  <si>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</si>
  <si>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</si>
  <si>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</si>
  <si>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</si>
  <si>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</si>
  <si>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</si>
  <si>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</si>
  <si>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</si>
  <si>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</si>
  <si>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</si>
  <si>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</si>
  <si>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</si>
  <si>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</si>
  <si>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</si>
  <si>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</si>
  <si>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</si>
  <si>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</si>
  <si>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</si>
  <si>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</si>
  <si>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</si>
  <si>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</si>
  <si>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</si>
  <si>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t>ERROR (g)</t>
  </si>
  <si>
    <t>Carga máx. (g)</t>
  </si>
  <si>
    <t>DATOS TERMOHIGRÓMETRO - BARÓMETRO</t>
  </si>
  <si>
    <t>Fecha Certificado</t>
  </si>
  <si>
    <t>M-010</t>
  </si>
  <si>
    <t>Incertidumbre   U=(k=2)</t>
  </si>
  <si>
    <t xml:space="preserve">M-012  </t>
  </si>
  <si>
    <t>°C</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</si>
  <si>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</si>
  <si>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</si>
  <si>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</si>
  <si>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</si>
  <si>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</si>
  <si>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</si>
  <si>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</si>
  <si>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</si>
  <si>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</si>
  <si>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</si>
  <si>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</si>
  <si>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(g)</t>
  </si>
  <si>
    <t>K</t>
  </si>
  <si>
    <t>Nivel de Confianza</t>
  </si>
  <si>
    <r>
      <t xml:space="preserve">Hora </t>
    </r>
    <r>
      <rPr>
        <b/>
        <sz val="12"/>
        <rFont val="Arial"/>
        <family val="2"/>
      </rPr>
      <t>final</t>
    </r>
  </si>
  <si>
    <t>Hora inicial</t>
  </si>
  <si>
    <t>U (E)  (g) =</t>
  </si>
  <si>
    <t>HOJA DE CÁLCULO PARA CALIBRACIÓN DE BALANZAS</t>
  </si>
  <si>
    <t>Metrólogo</t>
  </si>
  <si>
    <t>INM</t>
  </si>
  <si>
    <t>R (mg)</t>
  </si>
  <si>
    <t>E (R)  (g) =</t>
  </si>
  <si>
    <t>Patrón Utilizado en la Calibración - Termo higrómetros</t>
  </si>
  <si>
    <t>Código Interno</t>
  </si>
  <si>
    <t>Presión Atmosférica</t>
  </si>
  <si>
    <t>Metrólogos</t>
  </si>
  <si>
    <t xml:space="preserve">División de Escala (d)  (g)  </t>
  </si>
  <si>
    <t>N °  Certificado Adherido</t>
  </si>
  <si>
    <t xml:space="preserve">Solicitante                    </t>
  </si>
  <si>
    <t>INCERTIDUMBRE ESTÁNDAR MASA DE REFERENCIA   (mg)</t>
  </si>
  <si>
    <t>INCERTIDUMBRE ESTÁNDAR DEL ERROR   (mg)</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</si>
  <si>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</si>
  <si>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</si>
  <si>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</si>
  <si>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</si>
  <si>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</si>
  <si>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</si>
  <si>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t>
  </si>
  <si>
    <t>REPETICIÓN. N°</t>
  </si>
  <si>
    <t xml:space="preserve"> Certificado N°</t>
  </si>
  <si>
    <t xml:space="preserve"> Fecha de elaboración: </t>
  </si>
  <si>
    <t>DESPUÉS DE AJUSTE</t>
  </si>
  <si>
    <t>°C m</t>
  </si>
  <si>
    <t>°C b</t>
  </si>
  <si>
    <t>hPa m</t>
  </si>
  <si>
    <t>hPa b</t>
  </si>
  <si>
    <t xml:space="preserve"> Metrólogo de Masa y Volumen</t>
  </si>
  <si>
    <t>E2   2 g AKJ</t>
  </si>
  <si>
    <t>E2   20 g AKA</t>
  </si>
  <si>
    <t>E2   200 g ALW</t>
  </si>
  <si>
    <t>E2   2000 g ABY</t>
  </si>
  <si>
    <t>u (mg)</t>
  </si>
  <si>
    <t>Intervalo de Medición (g) e incertidumbre expandida U</t>
  </si>
  <si>
    <t>Masa  Convencional (g)</t>
  </si>
  <si>
    <t>Indicación 1 (g)</t>
  </si>
  <si>
    <t>Incertidumbre dominante</t>
  </si>
  <si>
    <t>SI</t>
  </si>
  <si>
    <t>≤ 0,3</t>
  </si>
  <si>
    <t>Resultado</t>
  </si>
  <si>
    <r>
      <rPr>
        <b/>
        <i/>
        <sz val="12"/>
        <rFont val="Tahoma"/>
        <family val="2"/>
      </rPr>
      <t>≥</t>
    </r>
    <r>
      <rPr>
        <b/>
        <i/>
        <sz val="12"/>
        <rFont val="Arial"/>
        <family val="2"/>
      </rPr>
      <t xml:space="preserve"> 0,3</t>
    </r>
  </si>
  <si>
    <t>Condicional incertidumbre dominante</t>
  </si>
  <si>
    <t>1.   INFORMACIÓN DEL EQUIPO SOMETIDO A CALIBRACIÓN</t>
  </si>
  <si>
    <t>2.   LUGAR Y DIRECCIÓN DE CALIBRACIÓN</t>
  </si>
  <si>
    <t>3.   CÓDIGO INTERNO</t>
  </si>
  <si>
    <t>4. MÉTODO DE CALIBRACIÓN UTILIZADO</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</si>
  <si>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</si>
  <si>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</si>
  <si>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</si>
  <si>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</si>
  <si>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</si>
  <si>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U (g)    =</t>
  </si>
  <si>
    <t>Firma Autorizada</t>
  </si>
  <si>
    <t>Calibrado por:</t>
  </si>
  <si>
    <t>Nombre del Metrólogo</t>
  </si>
  <si>
    <t>±U (g)</t>
  </si>
  <si>
    <t>6.   TRAZABILIDAD METROLÓGICA</t>
  </si>
  <si>
    <t>Intervalo</t>
  </si>
  <si>
    <t>Clase de Pesas</t>
  </si>
  <si>
    <t>Pesas Utilizadas</t>
  </si>
  <si>
    <t>No. Certificado</t>
  </si>
  <si>
    <t>Objeto:</t>
  </si>
  <si>
    <t xml:space="preserve">Fabricante: </t>
  </si>
  <si>
    <t>Modelo:</t>
  </si>
  <si>
    <t xml:space="preserve">Carga Máx.:                      </t>
  </si>
  <si>
    <t xml:space="preserve">Carga Mín.:                       </t>
  </si>
  <si>
    <t xml:space="preserve">División de escala:         </t>
  </si>
  <si>
    <t xml:space="preserve">Escalón de verificación: </t>
  </si>
  <si>
    <t>INM 3998</t>
  </si>
  <si>
    <t>INM 4006</t>
  </si>
  <si>
    <t>INM 2313</t>
  </si>
  <si>
    <t>INM 3997</t>
  </si>
  <si>
    <t>INM 4005</t>
  </si>
  <si>
    <t>INM 2316</t>
  </si>
  <si>
    <t>INM-3997, INM 4005 - INM 2316</t>
  </si>
  <si>
    <t>INM 3985</t>
  </si>
  <si>
    <t>INM 3987</t>
  </si>
  <si>
    <t>INM - 2314</t>
  </si>
  <si>
    <t>INM 3985 - INM 3987 -   INM 2314</t>
  </si>
  <si>
    <t>INM 3986</t>
  </si>
  <si>
    <t>INM 3988</t>
  </si>
  <si>
    <t>INM 2315</t>
  </si>
  <si>
    <t>INM-39864-INM 3988-INM 2315</t>
  </si>
  <si>
    <t>En la calibración se utilizó el método establecido en el documento normativo guía para la calibración de los instrumentos para pesaje de funcionamiento no automático (SIM MWG7/cg-01v.00) .</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</si>
  <si>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</si>
  <si>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</si>
  <si>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</si>
  <si>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</si>
  <si>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</si>
  <si>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</si>
  <si>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</si>
  <si>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</si>
  <si>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</si>
  <si>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</si>
  <si>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</si>
  <si>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</si>
  <si>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</si>
  <si>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</si>
  <si>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</si>
  <si>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</si>
  <si>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</si>
  <si>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1000 g  </t>
  </si>
  <si>
    <t xml:space="preserve">V 2 RL.  2000 g  </t>
  </si>
  <si>
    <t xml:space="preserve">V 2 RL.  2000 g punto </t>
  </si>
  <si>
    <t xml:space="preserve">V 2 RL.  5000 g  </t>
  </si>
  <si>
    <t>Juego viajeras  V2</t>
  </si>
  <si>
    <t>Juego Viajeras V1</t>
  </si>
  <si>
    <t>INM 4216</t>
  </si>
  <si>
    <t>INM 4217</t>
  </si>
  <si>
    <t>INM 2346</t>
  </si>
  <si>
    <t>INM 4216 - INM 4217 -  INM 2346</t>
  </si>
  <si>
    <t xml:space="preserve">Carga </t>
  </si>
  <si>
    <t>Valor Nominal</t>
  </si>
  <si>
    <t>Carga Baja</t>
  </si>
  <si>
    <t>La declaración de conformidad se aplica a los resultados obtenidos en la prueba de error de indicación, después de ajuste, teniendo en cuenta que el error, más la incertidumbre de medición, no deberá superar el error máximo permitido (EMP), según lo definido en los numerales 3.5.1 - 3.5.2 y 8.4.2 de la norma  NTC 2031:2014.</t>
  </si>
  <si>
    <t xml:space="preserve">Cumple </t>
  </si>
  <si>
    <t>SI/NO</t>
  </si>
  <si>
    <t>Dirección del Solicitante</t>
  </si>
  <si>
    <t>Código interno  (# de Radicado)</t>
  </si>
  <si>
    <t>FIRMAS AUTORIZADAS:</t>
  </si>
  <si>
    <t>………………………..FIN DE ESTE DOCUMENTO………………………..</t>
  </si>
  <si>
    <t>Carga Media</t>
  </si>
  <si>
    <r>
      <t xml:space="preserve">Prueba de error de indicación </t>
    </r>
    <r>
      <rPr>
        <sz val="10"/>
        <color theme="1"/>
        <rFont val="Arial"/>
        <family val="2"/>
      </rPr>
      <t>(redondeo de la indicación sin carga</t>
    </r>
    <r>
      <rPr>
        <b/>
        <sz val="10"/>
        <color theme="1"/>
        <rFont val="Arial"/>
        <family val="2"/>
      </rPr>
      <t>)</t>
    </r>
  </si>
  <si>
    <t>Grados efectivos de libertad Ʋ= n-3</t>
  </si>
  <si>
    <r>
      <rPr>
        <b/>
        <sz val="9"/>
        <color theme="1"/>
        <rFont val="Arial"/>
        <family val="2"/>
      </rPr>
      <t xml:space="preserve">Prueba de error de indicación </t>
    </r>
    <r>
      <rPr>
        <sz val="9"/>
        <color theme="1"/>
        <rFont val="Arial"/>
        <family val="2"/>
      </rPr>
      <t>(redondeo de la indicación con carga)</t>
    </r>
  </si>
  <si>
    <t>k</t>
  </si>
  <si>
    <t>SC</t>
  </si>
  <si>
    <t xml:space="preserve">Escalón de Verificación en  (g)  </t>
  </si>
  <si>
    <t>Responsable de la Dirección Técnica</t>
  </si>
  <si>
    <t xml:space="preserve">  Sustituto del Responsable de la Dirección Técnica</t>
  </si>
  <si>
    <t>Stivinson Córdoba Sánchez</t>
  </si>
  <si>
    <t>I</t>
  </si>
  <si>
    <t>E</t>
  </si>
  <si>
    <t xml:space="preserve">u </t>
  </si>
  <si>
    <t>Masa Convencional Anterior (g)</t>
  </si>
  <si>
    <t>Masa Convencional Actual (g)</t>
  </si>
  <si>
    <t>Fecha de calibración Actual</t>
  </si>
  <si>
    <t>Certificado Actual</t>
  </si>
  <si>
    <t>Error (mg) Año Anterior</t>
  </si>
  <si>
    <t>incertidumbre  por empuje</t>
  </si>
  <si>
    <t>incertidumbre por  deriva</t>
  </si>
  <si>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</si>
  <si>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</si>
  <si>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u</t>
    </r>
    <r>
      <rPr>
        <b/>
        <i/>
        <vertAlign val="superscript"/>
        <sz val="11"/>
        <color theme="1"/>
        <rFont val="Arial"/>
        <family val="2"/>
      </rPr>
      <t>2</t>
    </r>
    <r>
      <rPr>
        <b/>
        <i/>
        <sz val="11"/>
        <color theme="1"/>
        <rFont val="Arial"/>
        <family val="2"/>
      </rPr>
      <t>(R( ecc))=</t>
    </r>
  </si>
  <si>
    <r>
      <t>u (E</t>
    </r>
    <r>
      <rPr>
        <b/>
        <i/>
        <vertAlign val="subscript"/>
        <sz val="11"/>
        <color theme="1"/>
        <rFont val="Arial"/>
        <family val="2"/>
      </rPr>
      <t>appr</t>
    </r>
    <r>
      <rPr>
        <b/>
        <i/>
        <sz val="11"/>
        <color theme="1"/>
        <rFont val="Arial"/>
        <family val="2"/>
      </rPr>
      <t>)</t>
    </r>
  </si>
  <si>
    <r>
      <t>U(E</t>
    </r>
    <r>
      <rPr>
        <b/>
        <i/>
        <vertAlign val="subscript"/>
        <sz val="11"/>
        <color theme="1"/>
        <rFont val="Arial"/>
        <family val="2"/>
      </rPr>
      <t>appr</t>
    </r>
    <r>
      <rPr>
        <b/>
        <i/>
        <sz val="11"/>
        <color theme="1"/>
        <rFont val="Arial"/>
        <family val="2"/>
      </rPr>
      <t>)</t>
    </r>
  </si>
  <si>
    <t>R</t>
  </si>
  <si>
    <t>U(Eappr) Reportar</t>
  </si>
  <si>
    <t>RELATIVA</t>
  </si>
  <si>
    <r>
      <t>Min chi</t>
    </r>
    <r>
      <rPr>
        <b/>
        <vertAlign val="superscript"/>
        <sz val="14"/>
        <color theme="0"/>
        <rFont val="Arial"/>
        <family val="2"/>
      </rPr>
      <t>2</t>
    </r>
  </si>
  <si>
    <r>
      <t>APROXIMACIÓN POR LÍNEA RECTA QUE CRUZA EN CERO   E</t>
    </r>
    <r>
      <rPr>
        <b/>
        <vertAlign val="subscript"/>
        <sz val="10"/>
        <color theme="1"/>
        <rFont val="Arial"/>
        <family val="2"/>
      </rPr>
      <t>appr</t>
    </r>
  </si>
  <si>
    <r>
      <t>n</t>
    </r>
    <r>
      <rPr>
        <b/>
        <vertAlign val="subscript"/>
        <sz val="14"/>
        <color theme="0"/>
        <rFont val="Arial"/>
        <family val="2"/>
      </rPr>
      <t>a</t>
    </r>
  </si>
  <si>
    <r>
      <t>n</t>
    </r>
    <r>
      <rPr>
        <b/>
        <vertAlign val="subscript"/>
        <sz val="14"/>
        <color theme="0"/>
        <rFont val="Arial"/>
        <family val="2"/>
      </rPr>
      <t>par</t>
    </r>
  </si>
  <si>
    <t xml:space="preserve">5.   CONDICIONES AMBIENTALES  </t>
  </si>
  <si>
    <t>Adimensional</t>
  </si>
  <si>
    <t>U % Relativa</t>
  </si>
  <si>
    <t>Masa  Nominal (g)</t>
  </si>
  <si>
    <t>CALIBRACIÓN EN LABORATORIO SIC</t>
  </si>
  <si>
    <t>U % RELATIVA</t>
  </si>
  <si>
    <t>EMP (OIML R 111-1) (mg) F1</t>
  </si>
  <si>
    <t>gramos</t>
  </si>
  <si>
    <t>U % Relativa Aproximada formula</t>
  </si>
  <si>
    <t>CMC % Relativa</t>
  </si>
  <si>
    <t>ERROR DE INDICACIÓN</t>
  </si>
  <si>
    <t>Error (mg) Año Actual</t>
  </si>
  <si>
    <t>Deriva  (mg)</t>
  </si>
  <si>
    <t>Factor de cobertura según certificado k=</t>
  </si>
  <si>
    <t>Promedio Condiciones Ambientales Corregidas Finales</t>
  </si>
  <si>
    <t>Promedio Condiciones Ambientales Corregidas  Iniciales</t>
  </si>
  <si>
    <t>Condiciones ambientales  iniciales</t>
  </si>
  <si>
    <t>Condiciones ambientales  finales</t>
  </si>
  <si>
    <t xml:space="preserve">INCERTIDUMBRE EXPANDIDA RELATIVA % </t>
  </si>
  <si>
    <t xml:space="preserve">INCERTIDUMBRE EXPANDIDA (mg) </t>
  </si>
  <si>
    <t>FACTOR DE COBERTURA CALCULADO</t>
  </si>
  <si>
    <t>"+"(EMP) en Uso</t>
  </si>
  <si>
    <t>"-"(EMP) en Uso</t>
  </si>
  <si>
    <t>Aporte a la Incertidumbre %</t>
  </si>
  <si>
    <t>k=1,65</t>
  </si>
  <si>
    <t>k= 2,0</t>
  </si>
  <si>
    <t>"La incertidumbre expandida de la medición reportada se establece como la incertidumbre estándar de medición multiplicada por el factor de cobertura "k",y la probabilidad de cobertura,  la cual debe ser aproximada al 95% y no menor a este valor".</t>
  </si>
  <si>
    <t>% hr</t>
  </si>
  <si>
    <t>% hr m</t>
  </si>
  <si>
    <t>% hr b</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</si>
  <si>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</si>
  <si>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2019-05-21 / 2019-05-23 / 2019-05-15</t>
  </si>
  <si>
    <t xml:space="preserve">2019-09-24  / 2019-09-25  / 2019-08-25 </t>
  </si>
  <si>
    <t>2019-05-14 / 2019-05-15 / 2019-05-15</t>
  </si>
  <si>
    <t>INM  3998 - INM 4006 - INM 2313</t>
  </si>
  <si>
    <t>V 1 RL.  8200 kg</t>
  </si>
  <si>
    <t>ERROR DE INDICACIÓN   Después de Ajuste (mg)</t>
  </si>
  <si>
    <t>ERROR DE INDICACIÓN Después de Ajuste  (g)</t>
  </si>
  <si>
    <t>según certificado pesas patrón</t>
  </si>
  <si>
    <r>
      <rPr>
        <b/>
        <sz val="9"/>
        <rFont val="Arial"/>
        <family val="2"/>
      </rPr>
      <t>NOTA</t>
    </r>
    <r>
      <rPr>
        <sz val="9"/>
        <rFont val="Arial"/>
        <family val="2"/>
      </rPr>
      <t>: Las condiciones ambientales se refieren al sitio y al momento de la calibración.</t>
    </r>
  </si>
  <si>
    <t>Humedad relativa (% hr)</t>
  </si>
  <si>
    <t>Masa convencional actual (-) Masa convencional Anterior</t>
  </si>
  <si>
    <t>APROXIMACIÓN POR LÍNEA RECTA QUE CRUZA POR CERO PARA EL ERROR   (mg)</t>
  </si>
  <si>
    <t>Número de serie:</t>
  </si>
  <si>
    <t>Xi</t>
  </si>
  <si>
    <t>Yi</t>
  </si>
  <si>
    <t>n=</t>
  </si>
  <si>
    <t>Xi*Yi</t>
  </si>
  <si>
    <t>Media Xi</t>
  </si>
  <si>
    <t>Media Yi</t>
  </si>
  <si>
    <t>m</t>
  </si>
  <si>
    <t>b</t>
  </si>
  <si>
    <t>Fecha</t>
  </si>
  <si>
    <t>Mínimo</t>
  </si>
  <si>
    <t>Máximo</t>
  </si>
  <si>
    <t>Balanzas</t>
  </si>
  <si>
    <t>Hora Inicio</t>
  </si>
  <si>
    <t>Hora Final</t>
  </si>
  <si>
    <t>XXXX-XX-XX</t>
  </si>
  <si>
    <t>5 g a 8 200 g</t>
  </si>
  <si>
    <t>Balanza (IPFNA)</t>
  </si>
  <si>
    <t>Esta prueba evalúa las indicaciones de una misma carga, ubicada en diferentes posiciones del receptor de carga (figura 1), se realizó con las indicaciones consideradas por el fabricante de acuerdo a la Guía SIM MWG7/cg-01/v.00.</t>
  </si>
  <si>
    <t>(Sumatorias)</t>
  </si>
  <si>
    <t xml:space="preserve">Regresión </t>
  </si>
  <si>
    <t xml:space="preserve">* </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</si>
  <si>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</si>
  <si>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</si>
  <si>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</si>
  <si>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</si>
  <si>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</si>
  <si>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En el presente certificado se usa la coma (,) como separador decimal.</t>
  </si>
  <si>
    <t>Este certificado de calibración no puede ser reproducido parcial ni totalmente, excepto con la autorización del Laboratorio de la Superintendencia de   Industria y Comercio.</t>
  </si>
  <si>
    <t>El certificado de calibración sin las firmas autorizadas no es válido.</t>
  </si>
  <si>
    <t>La incertidumbre estándar de medición se multiplica por un factor de cobertura "k"=2</t>
  </si>
  <si>
    <t>Las fórmulas reportadas en el numeral 8 del presente certificado, se determinan de acuerdo a los lineamientos del apéndice C de la guía SIM MWG7/cg-01/v.00, donde R es la carga de prueba, E (R) es error de una indicación y U es la incertidumbre expandida del error aproximado.</t>
  </si>
  <si>
    <t>Balanza (IPFNA), instrumento de pesaje de funcionamiento no automático.</t>
  </si>
  <si>
    <t>Los resultados de la calibración son trazables al Sistema Internacional (SI).</t>
  </si>
  <si>
    <t xml:space="preserve"> Fecha de emisión: </t>
  </si>
  <si>
    <t>Carga mín (g)</t>
  </si>
  <si>
    <t>Masa para completar la carga Máx. (g)</t>
  </si>
  <si>
    <r>
      <rPr>
        <b/>
        <sz val="10"/>
        <rFont val="Tahoma"/>
        <family val="2"/>
      </rPr>
      <t>±</t>
    </r>
    <r>
      <rPr>
        <b/>
        <sz val="10"/>
        <rFont val="Arial"/>
        <family val="2"/>
      </rPr>
      <t>(EMP) en Uso</t>
    </r>
  </si>
  <si>
    <r>
      <t xml:space="preserve">5 g </t>
    </r>
    <r>
      <rPr>
        <sz val="10"/>
        <rFont val="Tahoma"/>
        <family val="2"/>
      </rPr>
      <t>≤</t>
    </r>
    <r>
      <rPr>
        <sz val="10"/>
        <rFont val="Arial"/>
        <family val="2"/>
      </rPr>
      <t xml:space="preserve"> m ≤   5 000 g</t>
    </r>
  </si>
  <si>
    <r>
      <t xml:space="preserve">5 000 g </t>
    </r>
    <r>
      <rPr>
        <sz val="10"/>
        <rFont val="Tahoma"/>
        <family val="2"/>
      </rPr>
      <t>≤</t>
    </r>
    <r>
      <rPr>
        <sz val="10"/>
        <rFont val="Arial"/>
        <family val="2"/>
      </rPr>
      <t xml:space="preserve"> m ≤ 8 200 g</t>
    </r>
  </si>
  <si>
    <r>
      <t>APROXIMACIÓN POR LÍNEA RECTA QUE CRUZA EN CERO   E</t>
    </r>
    <r>
      <rPr>
        <b/>
        <vertAlign val="subscript"/>
        <sz val="12"/>
        <rFont val="Arial"/>
        <family val="2"/>
      </rPr>
      <t>(appr)</t>
    </r>
  </si>
  <si>
    <t xml:space="preserve">Descargar datos del termohigrómetro utilizado en la calibración-condiciones ambientales máximas y mínimas </t>
  </si>
  <si>
    <t>Termohigrómetro</t>
  </si>
  <si>
    <r>
      <t xml:space="preserve">Mínimo </t>
    </r>
    <r>
      <rPr>
        <b/>
        <sz val="12"/>
        <color rgb="FFFF0000"/>
        <rFont val="Arial"/>
        <family val="2"/>
      </rPr>
      <t>Corregido</t>
    </r>
  </si>
  <si>
    <r>
      <t xml:space="preserve">Máximo </t>
    </r>
    <r>
      <rPr>
        <b/>
        <sz val="12"/>
        <color rgb="FFFF0000"/>
        <rFont val="Arial"/>
        <family val="2"/>
      </rPr>
      <t>Corregido</t>
    </r>
  </si>
  <si>
    <t>Modificación al Certificado N°</t>
  </si>
  <si>
    <t xml:space="preserve"> Modificación al Certificado N°</t>
  </si>
  <si>
    <t>Error (g)</t>
  </si>
  <si>
    <r>
      <t>Xi</t>
    </r>
    <r>
      <rPr>
        <b/>
        <vertAlign val="superscript"/>
        <sz val="11"/>
        <color theme="0" tint="-0.14999847407452621"/>
        <rFont val="Arial"/>
        <family val="2"/>
      </rPr>
      <t>2</t>
    </r>
  </si>
  <si>
    <t>±U (g)     CMC</t>
  </si>
  <si>
    <t>La  presente  modificación  deroga en su  totalidad al  certificado  No.</t>
  </si>
  <si>
    <t>Pesas para carga máxima (g) F1</t>
  </si>
  <si>
    <t>CMC Con respecto EMP Masa Patrón (g)</t>
  </si>
  <si>
    <t>GU 3.3-01 GUÍA PARA LA EXPRESIÓN DE LA INCERDIDUMBRE DE LA MEDICIÓN EN LOS ALCANCES PARA LA CALIBRACIÓN DE INSTRUMENTOS DE PESAJE DE FUNCIONAMIENTO NO AUTOMATICO (IPFNA)</t>
  </si>
  <si>
    <t>MÁX</t>
  </si>
  <si>
    <t>MÍN</t>
  </si>
  <si>
    <t>Masa Nominal (g)</t>
  </si>
  <si>
    <t xml:space="preserve">Incertidumbre expandida de los errores aproximados U(Eappr)     </t>
  </si>
  <si>
    <t>Carga Máx. (g)</t>
  </si>
  <si>
    <t>Carga Mín. (g)</t>
  </si>
  <si>
    <t>Valor Nominal (g)</t>
  </si>
  <si>
    <t>Incertidumbre de Calibración (mg)</t>
  </si>
  <si>
    <r>
      <t>Densidad del Aire kg/m</t>
    </r>
    <r>
      <rPr>
        <b/>
        <vertAlign val="superscript"/>
        <sz val="12"/>
        <rFont val="Arial"/>
        <family val="2"/>
      </rPr>
      <t>3</t>
    </r>
  </si>
  <si>
    <t>Lugar y Dirección de Calibración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</si>
</sst>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h:mm:ss;@"/>
    <numFmt numFmtId="176" formatCode="0_ &quot;mN&quot;"/>
    <numFmt numFmtId="177" formatCode="#,##0.0"/>
    <numFmt numFmtId="178" formatCode="#,##0.000"/>
    <numFmt numFmtId="179" formatCode="0.000_ &quot;g&quot;"/>
    <numFmt numFmtId="180" formatCode="0\ 000.0000"/>
    <numFmt numFmtId="181" formatCode="0\ 000"/>
    <numFmt numFmtId="182" formatCode="0\ 000\ .0"/>
    <numFmt numFmtId="183" formatCode="0\ 000.00000"/>
    <numFmt numFmtId="184" formatCode="0\ 000.00"/>
    <numFmt numFmtId="185" formatCode="\ 0\ 000\ 000.00"/>
    <numFmt numFmtId="186" formatCode="\ 0\ 000.0"/>
    <numFmt numFmtId="187" formatCode="#\ ##0"/>
    <numFmt numFmtId="188" formatCode="0.0_ &quot;g&quot;"/>
    <numFmt numFmtId="189" formatCode="0.\ 000\ &quot;g&quot;"/>
    <numFmt numFmtId="190" formatCode="0\ 000\ &quot;g&quot;"/>
    <numFmt numFmtId="191" formatCode="#\ ##0\ .0000"/>
    <numFmt numFmtId="192" formatCode="#\ ##0.0"/>
    <numFmt numFmtId="193" formatCode="##\ ##0.0"/>
    <numFmt numFmtId="194" formatCode="###\ ##0.0"/>
    <numFmt numFmtId="195" formatCode="#.\ ##0;\-#"/>
    <numFmt numFmtId="196" formatCode="0.0000E+00"/>
  </numFmts>
  <fonts count="71"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sz val="12"/>
      <color theme="0"/>
      <name val="Arial"/>
      <family val="2"/>
    </font>
    <font>
      <sz val="9"/>
      <name val="Arial"/>
      <family val="2"/>
    </font>
    <font>
      <b/>
      <sz val="9"/>
      <name val="Arial"/>
      <family val="2"/>
    </font>
    <font>
      <b/>
      <sz val="8"/>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9"/>
      <color indexed="81"/>
      <name val="Tahoma"/>
      <family val="2"/>
    </font>
    <font>
      <b/>
      <sz val="16"/>
      <color theme="0" tint="-4.9989318521683403E-2"/>
      <name val="Arial"/>
      <family val="2"/>
    </font>
    <font>
      <b/>
      <sz val="20"/>
      <color theme="0"/>
      <name val="Arial"/>
      <family val="2"/>
    </font>
    <font>
      <sz val="16"/>
      <color theme="1"/>
      <name val="Arial"/>
      <family val="2"/>
    </font>
    <font>
      <b/>
      <sz val="9"/>
      <color indexed="81"/>
      <name val="Tahoma"/>
      <family val="2"/>
    </font>
    <font>
      <b/>
      <sz val="10"/>
      <name val="Tahoma"/>
      <family val="2"/>
    </font>
    <font>
      <sz val="10"/>
      <name val="Tahoma"/>
      <family val="2"/>
    </font>
    <font>
      <b/>
      <vertAlign val="subscript"/>
      <sz val="12"/>
      <name val="Arial"/>
      <family val="2"/>
    </font>
    <font>
      <b/>
      <sz val="12"/>
      <color rgb="FFFF0000"/>
      <name val="Arial"/>
      <family val="2"/>
    </font>
    <font>
      <sz val="11"/>
      <color theme="0" tint="-0.14999847407452621"/>
      <name val="Arial"/>
      <family val="2"/>
    </font>
    <font>
      <b/>
      <sz val="11"/>
      <color theme="0" tint="-0.14999847407452621"/>
      <name val="Arial"/>
      <family val="2"/>
    </font>
    <font>
      <b/>
      <vertAlign val="superscript"/>
      <sz val="11"/>
      <color theme="0" tint="-0.14999847407452621"/>
      <name val="Arial"/>
      <family val="2"/>
    </font>
    <font>
      <b/>
      <sz val="12"/>
      <color theme="0" tint="-0.14999847407452621"/>
      <name val="Arial"/>
      <family val="2"/>
    </font>
    <font>
      <sz val="11"/>
      <name val="Calibri"/>
      <family val="2"/>
      <scheme val="minor"/>
    </font>
    <font>
      <sz val="11"/>
      <color theme="0"/>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rgb="FFACB9CA"/>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3" borderId="5" applyFont="0" applyBorder="0" applyAlignment="0">
      <alignment horizontal="center" vertical="center" wrapText="1"/>
      <protection locked="0"/>
    </xf>
    <xf numFmtId="0" fontId="6" fillId="14" borderId="1" applyBorder="0">
      <alignment horizontal="center" vertical="center"/>
    </xf>
  </cellStyleXfs>
  <cellXfs count="1482">
    <xf numFmtId="0" fontId="0" fillId="0" borderId="0" xfId="0"/>
    <xf numFmtId="2" fontId="7" fillId="0" borderId="0" xfId="0" applyNumberFormat="1" applyFont="1" applyProtection="1">
      <protection hidden="1"/>
    </xf>
    <xf numFmtId="0" fontId="7" fillId="2" borderId="0" xfId="0" applyFont="1" applyFill="1" applyBorder="1" applyAlignment="1" applyProtection="1">
      <protection hidden="1"/>
    </xf>
    <xf numFmtId="0" fontId="7" fillId="2" borderId="0"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wrapText="1"/>
      <protection hidden="1"/>
    </xf>
    <xf numFmtId="0" fontId="7" fillId="0" borderId="0" xfId="0" applyFont="1" applyProtection="1">
      <protection hidden="1"/>
    </xf>
    <xf numFmtId="2" fontId="7" fillId="2" borderId="0" xfId="0" applyNumberFormat="1" applyFont="1" applyFill="1" applyBorder="1" applyProtection="1">
      <protection hidden="1"/>
    </xf>
    <xf numFmtId="2" fontId="7" fillId="0" borderId="0" xfId="0" applyNumberFormat="1" applyFont="1" applyFill="1" applyBorder="1" applyProtection="1">
      <protection hidden="1"/>
    </xf>
    <xf numFmtId="2" fontId="7" fillId="2" borderId="0" xfId="0" applyNumberFormat="1" applyFont="1" applyFill="1" applyProtection="1">
      <protection hidden="1"/>
    </xf>
    <xf numFmtId="2" fontId="8"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protection hidden="1"/>
    </xf>
    <xf numFmtId="2" fontId="8" fillId="0" borderId="0" xfId="2" applyNumberFormat="1" applyFont="1" applyFill="1" applyBorder="1" applyAlignment="1" applyProtection="1">
      <alignment horizontal="center" vertical="center" wrapText="1"/>
      <protection hidden="1"/>
    </xf>
    <xf numFmtId="2" fontId="9" fillId="0" borderId="0" xfId="2" applyNumberFormat="1" applyFont="1" applyFill="1" applyBorder="1" applyAlignment="1" applyProtection="1">
      <alignment vertical="center"/>
      <protection hidden="1"/>
    </xf>
    <xf numFmtId="2" fontId="9" fillId="0" borderId="0" xfId="2" applyNumberFormat="1" applyFont="1" applyFill="1" applyBorder="1" applyAlignment="1" applyProtection="1">
      <alignment vertical="center" wrapText="1"/>
      <protection hidden="1"/>
    </xf>
    <xf numFmtId="2" fontId="7" fillId="2" borderId="0" xfId="0" applyNumberFormat="1" applyFont="1" applyFill="1" applyBorder="1" applyAlignment="1" applyProtection="1">
      <alignment vertical="center"/>
      <protection hidden="1"/>
    </xf>
    <xf numFmtId="2" fontId="9" fillId="0" borderId="0" xfId="2" applyNumberFormat="1" applyFont="1" applyFill="1" applyBorder="1" applyAlignment="1" applyProtection="1">
      <protection hidden="1"/>
    </xf>
    <xf numFmtId="2" fontId="7" fillId="0" borderId="0" xfId="0" applyNumberFormat="1" applyFont="1" applyAlignment="1" applyProtection="1">
      <alignment vertical="center"/>
      <protection hidden="1"/>
    </xf>
    <xf numFmtId="2" fontId="9" fillId="0" borderId="0" xfId="2" applyNumberFormat="1" applyFont="1" applyFill="1" applyBorder="1" applyAlignment="1" applyProtection="1">
      <alignment horizontal="center"/>
      <protection hidden="1"/>
    </xf>
    <xf numFmtId="2" fontId="9" fillId="0" borderId="0" xfId="2" applyNumberFormat="1" applyFont="1" applyFill="1" applyBorder="1" applyProtection="1">
      <protection hidden="1"/>
    </xf>
    <xf numFmtId="2" fontId="8" fillId="0" borderId="0" xfId="2" applyNumberFormat="1" applyFont="1" applyFill="1" applyBorder="1" applyAlignment="1" applyProtection="1">
      <protection hidden="1"/>
    </xf>
    <xf numFmtId="2" fontId="8" fillId="0" borderId="0" xfId="2" applyNumberFormat="1" applyFont="1" applyFill="1" applyBorder="1" applyAlignment="1" applyProtection="1">
      <alignment vertical="center"/>
      <protection hidden="1"/>
    </xf>
    <xf numFmtId="2" fontId="7" fillId="0" borderId="0" xfId="0" applyNumberFormat="1" applyFont="1" applyFill="1" applyBorder="1" applyAlignment="1" applyProtection="1">
      <alignment vertical="center"/>
      <protection hidden="1"/>
    </xf>
    <xf numFmtId="176" fontId="8" fillId="0" borderId="0" xfId="2" applyNumberFormat="1" applyFont="1" applyFill="1" applyBorder="1" applyAlignment="1" applyProtection="1">
      <protection hidden="1"/>
    </xf>
    <xf numFmtId="2" fontId="9" fillId="0" borderId="0" xfId="2" applyNumberFormat="1" applyFont="1" applyFill="1" applyBorder="1" applyAlignment="1" applyProtection="1">
      <alignment horizontal="right" vertical="center"/>
      <protection hidden="1"/>
    </xf>
    <xf numFmtId="1" fontId="7" fillId="0" borderId="0" xfId="0" applyNumberFormat="1" applyFont="1" applyAlignment="1" applyProtection="1">
      <alignment horizontal="left" vertical="center"/>
      <protection hidden="1"/>
    </xf>
    <xf numFmtId="2" fontId="13" fillId="0" borderId="0" xfId="0" applyNumberFormat="1" applyFont="1" applyFill="1" applyBorder="1" applyAlignment="1" applyProtection="1">
      <alignment vertical="center" wrapText="1"/>
      <protection hidden="1"/>
    </xf>
    <xf numFmtId="2" fontId="7" fillId="6" borderId="35"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7" fillId="2" borderId="0" xfId="0" applyNumberFormat="1" applyFont="1" applyFill="1" applyBorder="1" applyProtection="1">
      <protection hidden="1"/>
    </xf>
    <xf numFmtId="2" fontId="7" fillId="0" borderId="0" xfId="0" applyNumberFormat="1" applyFont="1" applyFill="1" applyProtection="1">
      <protection hidden="1"/>
    </xf>
    <xf numFmtId="2" fontId="10" fillId="0" borderId="0" xfId="0" applyNumberFormat="1" applyFont="1" applyFill="1" applyBorder="1" applyAlignment="1" applyProtection="1">
      <alignment vertical="center"/>
      <protection hidden="1"/>
    </xf>
    <xf numFmtId="2" fontId="7" fillId="9" borderId="1" xfId="0" applyNumberFormat="1" applyFont="1" applyFill="1" applyBorder="1" applyAlignment="1" applyProtection="1">
      <alignment horizontal="center" vertical="center"/>
      <protection hidden="1"/>
    </xf>
    <xf numFmtId="2" fontId="7" fillId="0" borderId="0" xfId="0" applyNumberFormat="1" applyFont="1" applyBorder="1" applyProtection="1">
      <protection hidden="1"/>
    </xf>
    <xf numFmtId="166" fontId="7" fillId="9" borderId="1" xfId="0" applyNumberFormat="1" applyFont="1" applyFill="1" applyBorder="1" applyAlignment="1" applyProtection="1">
      <alignment horizontal="center" vertical="center"/>
      <protection hidden="1"/>
    </xf>
    <xf numFmtId="2" fontId="7" fillId="0" borderId="0" xfId="0" applyNumberFormat="1" applyFont="1" applyFill="1" applyBorder="1" applyAlignment="1" applyProtection="1">
      <alignment horizontal="center" vertical="center"/>
      <protection hidden="1"/>
    </xf>
    <xf numFmtId="169" fontId="7" fillId="0" borderId="0" xfId="0" applyNumberFormat="1" applyFont="1" applyFill="1" applyBorder="1" applyProtection="1">
      <protection hidden="1"/>
    </xf>
    <xf numFmtId="169" fontId="9" fillId="9" borderId="1" xfId="0" applyNumberFormat="1" applyFont="1" applyFill="1" applyBorder="1" applyAlignment="1" applyProtection="1">
      <alignment horizontal="center" vertical="center"/>
      <protection hidden="1"/>
    </xf>
    <xf numFmtId="167" fontId="9" fillId="9" borderId="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7" fillId="9" borderId="1" xfId="0" applyNumberFormat="1" applyFont="1" applyFill="1" applyBorder="1" applyAlignment="1" applyProtection="1">
      <alignment horizontal="center" vertical="center"/>
      <protection hidden="1"/>
    </xf>
    <xf numFmtId="172" fontId="7" fillId="2" borderId="0" xfId="0" applyNumberFormat="1" applyFont="1" applyFill="1" applyBorder="1" applyProtection="1">
      <protection hidden="1"/>
    </xf>
    <xf numFmtId="2" fontId="7" fillId="0" borderId="0" xfId="0" applyNumberFormat="1" applyFont="1" applyAlignment="1" applyProtection="1">
      <alignment horizontal="center"/>
      <protection hidden="1"/>
    </xf>
    <xf numFmtId="2" fontId="7" fillId="2" borderId="0" xfId="0" applyNumberFormat="1" applyFont="1" applyFill="1" applyBorder="1" applyAlignment="1" applyProtection="1">
      <alignment horizontal="left" vertical="center"/>
      <protection hidden="1"/>
    </xf>
    <xf numFmtId="11" fontId="7" fillId="2" borderId="0" xfId="0" applyNumberFormat="1" applyFont="1" applyFill="1" applyBorder="1" applyProtection="1">
      <protection hidden="1"/>
    </xf>
    <xf numFmtId="14" fontId="5" fillId="9" borderId="48" xfId="0" applyNumberFormat="1" applyFont="1" applyFill="1" applyBorder="1" applyAlignment="1" applyProtection="1">
      <alignment horizontal="center" vertical="center" wrapText="1"/>
      <protection hidden="1"/>
    </xf>
    <xf numFmtId="2" fontId="7" fillId="9" borderId="16" xfId="0" applyNumberFormat="1" applyFont="1" applyFill="1" applyBorder="1" applyAlignment="1" applyProtection="1">
      <alignment horizontal="centerContinuous" vertical="center" wrapText="1"/>
      <protection hidden="1"/>
    </xf>
    <xf numFmtId="0" fontId="7" fillId="9" borderId="1" xfId="0" applyFont="1" applyFill="1" applyBorder="1" applyAlignment="1" applyProtection="1">
      <alignment horizontal="center" vertical="center"/>
      <protection hidden="1"/>
    </xf>
    <xf numFmtId="2" fontId="16" fillId="6" borderId="9" xfId="2" applyNumberFormat="1" applyFont="1" applyFill="1" applyBorder="1" applyAlignment="1" applyProtection="1">
      <alignment horizontal="center" vertical="center" wrapText="1"/>
      <protection hidden="1"/>
    </xf>
    <xf numFmtId="2" fontId="16"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7" fillId="9" borderId="17" xfId="0" applyNumberFormat="1" applyFont="1" applyFill="1" applyBorder="1" applyAlignment="1" applyProtection="1">
      <alignment horizontal="centerContinuous" vertical="center" wrapText="1"/>
      <protection hidden="1"/>
    </xf>
    <xf numFmtId="171" fontId="7" fillId="9" borderId="17" xfId="0" applyNumberFormat="1" applyFont="1" applyFill="1" applyBorder="1" applyAlignment="1" applyProtection="1">
      <alignment horizontal="centerContinuous" vertical="center" wrapText="1"/>
      <protection hidden="1"/>
    </xf>
    <xf numFmtId="1" fontId="7" fillId="9" borderId="17" xfId="0" applyNumberFormat="1" applyFont="1" applyFill="1" applyBorder="1" applyAlignment="1" applyProtection="1">
      <alignment horizontal="centerContinuous" vertical="center" wrapText="1"/>
      <protection hidden="1"/>
    </xf>
    <xf numFmtId="168" fontId="5" fillId="9" borderId="48" xfId="0" applyNumberFormat="1"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horizontal="center" vertical="center"/>
      <protection hidden="1"/>
    </xf>
    <xf numFmtId="2" fontId="13"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vertical="center" wrapText="1"/>
      <protection hidden="1"/>
    </xf>
    <xf numFmtId="2" fontId="7" fillId="9" borderId="14" xfId="0" applyNumberFormat="1" applyFont="1" applyFill="1" applyBorder="1" applyAlignment="1" applyProtection="1">
      <alignment horizontal="centerContinuous" vertical="center" wrapText="1"/>
      <protection hidden="1"/>
    </xf>
    <xf numFmtId="2" fontId="14" fillId="2" borderId="0" xfId="0" applyNumberFormat="1" applyFont="1" applyFill="1" applyBorder="1" applyProtection="1">
      <protection hidden="1"/>
    </xf>
    <xf numFmtId="171" fontId="13" fillId="9" borderId="35" xfId="0" applyNumberFormat="1" applyFont="1" applyFill="1" applyBorder="1" applyAlignment="1" applyProtection="1">
      <alignment horizontal="center" vertical="center"/>
      <protection hidden="1"/>
    </xf>
    <xf numFmtId="0" fontId="29" fillId="0" borderId="0" xfId="0" applyFont="1" applyProtection="1">
      <protection hidden="1"/>
    </xf>
    <xf numFmtId="0" fontId="29" fillId="0" borderId="0" xfId="0" applyFont="1" applyBorder="1" applyProtection="1">
      <protection hidden="1"/>
    </xf>
    <xf numFmtId="0" fontId="29" fillId="0" borderId="0" xfId="0" applyFont="1" applyAlignment="1" applyProtection="1">
      <alignment horizontal="center" vertical="center"/>
      <protection hidden="1"/>
    </xf>
    <xf numFmtId="0" fontId="28" fillId="0" borderId="4" xfId="0" applyNumberFormat="1" applyFont="1" applyBorder="1" applyAlignment="1" applyProtection="1">
      <protection hidden="1"/>
    </xf>
    <xf numFmtId="0" fontId="28" fillId="0" borderId="5" xfId="0" applyNumberFormat="1" applyFont="1" applyBorder="1" applyAlignment="1" applyProtection="1">
      <protection hidden="1"/>
    </xf>
    <xf numFmtId="0" fontId="28" fillId="0" borderId="39" xfId="0" applyNumberFormat="1" applyFont="1" applyBorder="1" applyAlignment="1" applyProtection="1">
      <protection hidden="1"/>
    </xf>
    <xf numFmtId="0" fontId="29" fillId="0" borderId="0" xfId="0" applyFont="1" applyFill="1" applyBorder="1" applyProtection="1">
      <protection hidden="1"/>
    </xf>
    <xf numFmtId="0" fontId="29" fillId="0" borderId="0" xfId="0" applyFont="1" applyFill="1" applyProtection="1">
      <protection hidden="1"/>
    </xf>
    <xf numFmtId="0" fontId="29" fillId="0" borderId="7" xfId="0" applyNumberFormat="1" applyFont="1" applyFill="1" applyBorder="1" applyProtection="1">
      <protection hidden="1"/>
    </xf>
    <xf numFmtId="0" fontId="29" fillId="0" borderId="8" xfId="0" applyNumberFormat="1" applyFont="1" applyFill="1" applyBorder="1" applyProtection="1">
      <protection hidden="1"/>
    </xf>
    <xf numFmtId="0" fontId="28" fillId="0" borderId="7" xfId="0" applyNumberFormat="1" applyFont="1" applyFill="1" applyBorder="1" applyAlignment="1" applyProtection="1">
      <alignment horizontal="center"/>
      <protection hidden="1"/>
    </xf>
    <xf numFmtId="0" fontId="28" fillId="0" borderId="8" xfId="0" applyNumberFormat="1" applyFont="1" applyFill="1" applyBorder="1" applyAlignment="1" applyProtection="1">
      <alignment horizontal="center"/>
      <protection hidden="1"/>
    </xf>
    <xf numFmtId="0" fontId="28" fillId="0" borderId="8" xfId="0" applyNumberFormat="1" applyFont="1" applyFill="1" applyBorder="1" applyAlignment="1" applyProtection="1">
      <alignment horizontal="center" vertical="center" wrapText="1"/>
      <protection hidden="1"/>
    </xf>
    <xf numFmtId="0" fontId="28" fillId="0" borderId="12" xfId="0" applyNumberFormat="1" applyFont="1" applyFill="1" applyBorder="1" applyAlignment="1" applyProtection="1">
      <alignment horizontal="center"/>
      <protection hidden="1"/>
    </xf>
    <xf numFmtId="0" fontId="29" fillId="0" borderId="39"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28" fillId="0" borderId="0" xfId="0" applyFont="1" applyBorder="1" applyProtection="1">
      <protection hidden="1"/>
    </xf>
    <xf numFmtId="0" fontId="28" fillId="0" borderId="0" xfId="0" applyFont="1" applyFill="1" applyBorder="1" applyProtection="1">
      <protection hidden="1"/>
    </xf>
    <xf numFmtId="0" fontId="28" fillId="0" borderId="0" xfId="0" applyFont="1" applyBorder="1" applyAlignment="1" applyProtection="1">
      <alignment horizontal="center"/>
      <protection hidden="1"/>
    </xf>
    <xf numFmtId="0" fontId="30" fillId="0" borderId="0" xfId="0" applyFont="1" applyBorder="1" applyAlignment="1" applyProtection="1">
      <alignment vertical="center" textRotation="90"/>
      <protection hidden="1"/>
    </xf>
    <xf numFmtId="0" fontId="28" fillId="0" borderId="0" xfId="0" applyFont="1" applyBorder="1" applyAlignment="1" applyProtection="1">
      <alignment horizontal="center" vertical="center"/>
      <protection hidden="1"/>
    </xf>
    <xf numFmtId="0" fontId="29" fillId="0" borderId="22" xfId="0" applyFont="1" applyBorder="1" applyProtection="1">
      <protection hidden="1"/>
    </xf>
    <xf numFmtId="0" fontId="30" fillId="0" borderId="31" xfId="0" applyFont="1" applyBorder="1" applyAlignment="1" applyProtection="1">
      <alignment vertical="center" textRotation="90"/>
      <protection hidden="1"/>
    </xf>
    <xf numFmtId="0" fontId="29" fillId="0" borderId="31" xfId="0" applyFont="1" applyBorder="1" applyAlignment="1" applyProtection="1">
      <protection hidden="1"/>
    </xf>
    <xf numFmtId="0" fontId="29" fillId="0" borderId="31" xfId="0" applyFont="1" applyBorder="1" applyProtection="1">
      <protection hidden="1"/>
    </xf>
    <xf numFmtId="0" fontId="29" fillId="0" borderId="15" xfId="0" applyFont="1" applyBorder="1" applyProtection="1">
      <protection hidden="1"/>
    </xf>
    <xf numFmtId="0" fontId="29" fillId="0" borderId="15" xfId="0" applyFont="1" applyBorder="1" applyAlignment="1" applyProtection="1">
      <alignment horizontal="center" vertical="center"/>
      <protection hidden="1"/>
    </xf>
    <xf numFmtId="0" fontId="29" fillId="0" borderId="16" xfId="0" applyFont="1" applyBorder="1" applyAlignment="1" applyProtection="1">
      <alignment horizontal="center" vertical="center"/>
      <protection hidden="1"/>
    </xf>
    <xf numFmtId="0" fontId="30" fillId="0" borderId="40" xfId="0" applyFont="1" applyBorder="1" applyAlignment="1" applyProtection="1">
      <alignment horizontal="center" vertical="center"/>
      <protection hidden="1"/>
    </xf>
    <xf numFmtId="0" fontId="28" fillId="0" borderId="40" xfId="0" applyFont="1" applyFill="1" applyBorder="1" applyAlignment="1" applyProtection="1">
      <alignment horizontal="center" vertical="center"/>
      <protection hidden="1"/>
    </xf>
    <xf numFmtId="0" fontId="29" fillId="0" borderId="40" xfId="0" applyFont="1" applyFill="1" applyBorder="1" applyAlignment="1" applyProtection="1">
      <alignment horizontal="center" vertical="center"/>
      <protection hidden="1"/>
    </xf>
    <xf numFmtId="3" fontId="28" fillId="0" borderId="40" xfId="0" applyNumberFormat="1" applyFont="1" applyFill="1" applyBorder="1" applyAlignment="1" applyProtection="1">
      <alignment horizontal="center" vertical="center" wrapText="1"/>
      <protection hidden="1"/>
    </xf>
    <xf numFmtId="171" fontId="28" fillId="0" borderId="40" xfId="0" applyNumberFormat="1" applyFont="1" applyFill="1" applyBorder="1" applyAlignment="1" applyProtection="1">
      <alignment horizontal="center" vertical="center"/>
      <protection hidden="1"/>
    </xf>
    <xf numFmtId="168" fontId="28" fillId="0" borderId="40" xfId="0" applyNumberFormat="1" applyFont="1" applyFill="1" applyBorder="1" applyAlignment="1" applyProtection="1">
      <alignment horizontal="center" vertical="center"/>
      <protection hidden="1"/>
    </xf>
    <xf numFmtId="3" fontId="28" fillId="17" borderId="4" xfId="0" applyNumberFormat="1" applyFont="1" applyFill="1" applyBorder="1" applyAlignment="1" applyProtection="1">
      <alignment horizontal="center" vertical="center" wrapText="1"/>
      <protection hidden="1"/>
    </xf>
    <xf numFmtId="0" fontId="28" fillId="0" borderId="0" xfId="0" applyFont="1" applyFill="1" applyBorder="1" applyAlignment="1" applyProtection="1">
      <alignment vertical="center"/>
      <protection hidden="1"/>
    </xf>
    <xf numFmtId="0" fontId="30" fillId="0" borderId="24"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3" fontId="28" fillId="0" borderId="0" xfId="0" applyNumberFormat="1" applyFont="1" applyFill="1" applyBorder="1" applyAlignment="1" applyProtection="1">
      <alignment horizontal="center" vertical="center" wrapText="1"/>
      <protection hidden="1"/>
    </xf>
    <xf numFmtId="168" fontId="28" fillId="0" borderId="0" xfId="0" applyNumberFormat="1" applyFont="1" applyFill="1" applyBorder="1" applyAlignment="1" applyProtection="1">
      <alignment horizontal="center" vertical="center"/>
      <protection hidden="1"/>
    </xf>
    <xf numFmtId="14" fontId="28" fillId="0" borderId="0" xfId="0" applyNumberFormat="1" applyFont="1" applyFill="1" applyBorder="1" applyAlignment="1" applyProtection="1">
      <alignment horizontal="center" vertical="center" wrapText="1"/>
      <protection hidden="1"/>
    </xf>
    <xf numFmtId="0" fontId="29" fillId="0" borderId="14" xfId="0" applyFont="1" applyBorder="1" applyProtection="1">
      <protection hidden="1"/>
    </xf>
    <xf numFmtId="0" fontId="29" fillId="0" borderId="24" xfId="0" applyFont="1" applyBorder="1" applyProtection="1">
      <protection hidden="1"/>
    </xf>
    <xf numFmtId="174" fontId="28" fillId="0" borderId="41" xfId="0" applyNumberFormat="1" applyFont="1" applyFill="1" applyBorder="1" applyAlignment="1" applyProtection="1">
      <alignment horizontal="center" vertical="center"/>
      <protection hidden="1"/>
    </xf>
    <xf numFmtId="0" fontId="28" fillId="0" borderId="5" xfId="0" applyFont="1" applyFill="1" applyBorder="1" applyAlignment="1" applyProtection="1">
      <alignment horizontal="center" vertical="center"/>
      <protection hidden="1"/>
    </xf>
    <xf numFmtId="174" fontId="28" fillId="2" borderId="5" xfId="0" applyNumberFormat="1" applyFont="1" applyFill="1" applyBorder="1" applyAlignment="1" applyProtection="1">
      <alignment horizontal="center" vertical="center"/>
      <protection hidden="1"/>
    </xf>
    <xf numFmtId="0" fontId="28" fillId="0" borderId="1" xfId="0" applyFont="1" applyFill="1" applyBorder="1" applyAlignment="1" applyProtection="1">
      <alignment horizontal="center" vertical="center"/>
      <protection hidden="1"/>
    </xf>
    <xf numFmtId="0" fontId="28" fillId="0" borderId="42" xfId="0" applyFont="1" applyFill="1" applyBorder="1" applyAlignment="1" applyProtection="1">
      <alignment horizontal="center" vertical="center"/>
      <protection hidden="1"/>
    </xf>
    <xf numFmtId="0" fontId="28" fillId="0" borderId="41" xfId="0" applyFont="1" applyFill="1" applyBorder="1" applyAlignment="1" applyProtection="1">
      <alignment horizontal="center" vertical="center"/>
      <protection hidden="1"/>
    </xf>
    <xf numFmtId="0" fontId="28" fillId="0" borderId="7" xfId="0" applyFont="1" applyFill="1" applyBorder="1" applyAlignment="1" applyProtection="1">
      <alignment horizontal="center" vertical="center"/>
      <protection hidden="1"/>
    </xf>
    <xf numFmtId="0" fontId="32" fillId="0" borderId="0" xfId="0" applyFont="1" applyProtection="1">
      <protection hidden="1"/>
    </xf>
    <xf numFmtId="0" fontId="29" fillId="0" borderId="59" xfId="0" applyFont="1" applyBorder="1" applyAlignment="1" applyProtection="1">
      <alignment horizontal="center" vertical="center"/>
      <protection hidden="1"/>
    </xf>
    <xf numFmtId="0" fontId="29" fillId="0" borderId="12" xfId="0" applyFont="1" applyFill="1" applyBorder="1" applyProtection="1">
      <protection hidden="1"/>
    </xf>
    <xf numFmtId="0" fontId="28" fillId="0" borderId="43" xfId="0" applyNumberFormat="1" applyFont="1" applyBorder="1" applyAlignment="1" applyProtection="1">
      <protection hidden="1"/>
    </xf>
    <xf numFmtId="0" fontId="28" fillId="0" borderId="20" xfId="0" applyNumberFormat="1" applyFont="1" applyBorder="1" applyAlignment="1" applyProtection="1">
      <protection hidden="1"/>
    </xf>
    <xf numFmtId="0" fontId="29" fillId="0" borderId="44" xfId="0" applyFont="1" applyBorder="1" applyProtection="1">
      <protection hidden="1"/>
    </xf>
    <xf numFmtId="0" fontId="29" fillId="0" borderId="7" xfId="0" applyFont="1" applyBorder="1" applyProtection="1">
      <protection hidden="1"/>
    </xf>
    <xf numFmtId="0" fontId="29" fillId="0" borderId="12" xfId="0" applyFont="1" applyBorder="1" applyProtection="1">
      <protection hidden="1"/>
    </xf>
    <xf numFmtId="0" fontId="29" fillId="0" borderId="43" xfId="0" applyFont="1" applyBorder="1" applyProtection="1">
      <protection hidden="1"/>
    </xf>
    <xf numFmtId="1" fontId="7" fillId="13" borderId="35" xfId="3" applyNumberFormat="1" applyFont="1" applyBorder="1" applyAlignment="1" applyProtection="1">
      <alignment horizontal="center" vertical="center"/>
      <protection locked="0" hidden="1"/>
    </xf>
    <xf numFmtId="1" fontId="7" fillId="13" borderId="16" xfId="3" applyNumberFormat="1" applyFont="1" applyBorder="1" applyAlignment="1" applyProtection="1">
      <alignment horizontal="center" vertical="center" wrapText="1"/>
      <protection locked="0" hidden="1"/>
    </xf>
    <xf numFmtId="1" fontId="8" fillId="13" borderId="35" xfId="3" applyNumberFormat="1" applyFont="1" applyBorder="1" applyAlignment="1" applyProtection="1">
      <alignment horizontal="center" vertical="center"/>
      <protection locked="0" hidden="1"/>
    </xf>
    <xf numFmtId="175" fontId="7" fillId="4" borderId="14" xfId="0" applyNumberFormat="1" applyFont="1" applyFill="1" applyBorder="1" applyAlignment="1" applyProtection="1">
      <alignment horizontal="center" vertical="center"/>
      <protection locked="0" hidden="1"/>
    </xf>
    <xf numFmtId="171" fontId="7" fillId="7" borderId="15" xfId="0" applyNumberFormat="1" applyFont="1" applyFill="1" applyBorder="1" applyAlignment="1" applyProtection="1">
      <alignment horizontal="center" vertical="center"/>
      <protection locked="0" hidden="1"/>
    </xf>
    <xf numFmtId="171" fontId="7" fillId="4" borderId="15" xfId="0" applyNumberFormat="1" applyFont="1" applyFill="1" applyBorder="1" applyAlignment="1" applyProtection="1">
      <alignment horizontal="center" vertical="center"/>
      <protection locked="0" hidden="1"/>
    </xf>
    <xf numFmtId="171" fontId="7" fillId="7" borderId="35" xfId="0" applyNumberFormat="1" applyFont="1" applyFill="1" applyBorder="1" applyAlignment="1" applyProtection="1">
      <alignment horizontal="center" vertical="center" wrapText="1"/>
      <protection locked="0" hidden="1"/>
    </xf>
    <xf numFmtId="3" fontId="28" fillId="20" borderId="43" xfId="0" applyNumberFormat="1" applyFont="1" applyFill="1" applyBorder="1" applyAlignment="1" applyProtection="1">
      <alignment horizontal="center" vertical="center" wrapText="1"/>
      <protection hidden="1"/>
    </xf>
    <xf numFmtId="0" fontId="29" fillId="0" borderId="4" xfId="0" applyFont="1" applyBorder="1" applyProtection="1">
      <protection hidden="1"/>
    </xf>
    <xf numFmtId="0" fontId="29" fillId="15" borderId="1" xfId="0" applyFont="1" applyFill="1" applyBorder="1" applyAlignment="1" applyProtection="1">
      <alignment horizontal="center" vertical="center"/>
      <protection hidden="1"/>
    </xf>
    <xf numFmtId="169" fontId="29" fillId="15" borderId="1" xfId="0" applyNumberFormat="1" applyFont="1" applyFill="1" applyBorder="1" applyAlignment="1" applyProtection="1">
      <alignment horizontal="center" vertical="center"/>
      <protection hidden="1"/>
    </xf>
    <xf numFmtId="171" fontId="29" fillId="15" borderId="1" xfId="0" applyNumberFormat="1" applyFont="1" applyFill="1" applyBorder="1" applyAlignment="1" applyProtection="1">
      <alignment horizontal="center" vertical="center"/>
      <protection hidden="1"/>
    </xf>
    <xf numFmtId="2" fontId="29" fillId="15" borderId="1" xfId="0" applyNumberFormat="1" applyFont="1" applyFill="1" applyBorder="1" applyAlignment="1" applyProtection="1">
      <alignment horizontal="center" vertical="center"/>
      <protection hidden="1"/>
    </xf>
    <xf numFmtId="0" fontId="29" fillId="15" borderId="8" xfId="0" applyFont="1" applyFill="1" applyBorder="1" applyAlignment="1" applyProtection="1">
      <alignment horizontal="center" vertical="center"/>
      <protection hidden="1"/>
    </xf>
    <xf numFmtId="169" fontId="29" fillId="15" borderId="8" xfId="0" applyNumberFormat="1" applyFont="1" applyFill="1" applyBorder="1" applyAlignment="1" applyProtection="1">
      <alignment horizontal="center" vertical="center"/>
      <protection hidden="1"/>
    </xf>
    <xf numFmtId="0" fontId="29" fillId="15" borderId="4" xfId="0" applyFont="1" applyFill="1" applyBorder="1" applyAlignment="1" applyProtection="1">
      <alignment horizontal="center" vertical="center" wrapText="1"/>
      <protection hidden="1"/>
    </xf>
    <xf numFmtId="0" fontId="29" fillId="15" borderId="5" xfId="0" applyFont="1" applyFill="1" applyBorder="1" applyAlignment="1" applyProtection="1">
      <alignment horizontal="center" vertical="center"/>
      <protection hidden="1"/>
    </xf>
    <xf numFmtId="166" fontId="29" fillId="15" borderId="5" xfId="0" applyNumberFormat="1" applyFont="1" applyFill="1" applyBorder="1" applyAlignment="1" applyProtection="1">
      <alignment horizontal="center" vertical="center"/>
      <protection hidden="1"/>
    </xf>
    <xf numFmtId="2" fontId="29" fillId="15" borderId="5" xfId="0" applyNumberFormat="1" applyFont="1" applyFill="1" applyBorder="1" applyAlignment="1" applyProtection="1">
      <alignment horizontal="center" vertical="center"/>
      <protection hidden="1"/>
    </xf>
    <xf numFmtId="169" fontId="29" fillId="15" borderId="5" xfId="0" applyNumberFormat="1" applyFont="1" applyFill="1" applyBorder="1" applyAlignment="1" applyProtection="1">
      <alignment horizontal="center" vertical="center"/>
      <protection hidden="1"/>
    </xf>
    <xf numFmtId="0" fontId="29" fillId="15" borderId="41" xfId="0" applyFont="1" applyFill="1" applyBorder="1" applyAlignment="1" applyProtection="1">
      <alignment horizontal="center" vertical="center" wrapText="1"/>
      <protection hidden="1"/>
    </xf>
    <xf numFmtId="165" fontId="29" fillId="15" borderId="1" xfId="0" applyNumberFormat="1" applyFont="1" applyFill="1" applyBorder="1" applyAlignment="1" applyProtection="1">
      <alignment horizontal="center" vertical="center"/>
      <protection hidden="1"/>
    </xf>
    <xf numFmtId="0" fontId="29" fillId="15" borderId="7" xfId="0" applyFont="1" applyFill="1" applyBorder="1" applyAlignment="1" applyProtection="1">
      <alignment horizontal="center" vertical="center" wrapText="1"/>
      <protection hidden="1"/>
    </xf>
    <xf numFmtId="171" fontId="29" fillId="15" borderId="8" xfId="0" applyNumberFormat="1" applyFont="1" applyFill="1" applyBorder="1" applyAlignment="1" applyProtection="1">
      <alignment horizontal="center" vertical="center"/>
      <protection hidden="1"/>
    </xf>
    <xf numFmtId="164" fontId="29" fillId="15" borderId="5" xfId="0" applyNumberFormat="1" applyFont="1" applyFill="1" applyBorder="1" applyAlignment="1" applyProtection="1">
      <alignment horizontal="center" vertical="center"/>
      <protection hidden="1"/>
    </xf>
    <xf numFmtId="166" fontId="29" fillId="15" borderId="1" xfId="0" applyNumberFormat="1" applyFont="1" applyFill="1" applyBorder="1" applyAlignment="1" applyProtection="1">
      <alignment horizontal="center" vertical="center"/>
      <protection hidden="1"/>
    </xf>
    <xf numFmtId="164" fontId="29" fillId="15" borderId="1" xfId="0" applyNumberFormat="1" applyFont="1" applyFill="1" applyBorder="1" applyAlignment="1" applyProtection="1">
      <alignment horizontal="center" vertical="center"/>
      <protection hidden="1"/>
    </xf>
    <xf numFmtId="165" fontId="29" fillId="15" borderId="5" xfId="0" applyNumberFormat="1" applyFont="1" applyFill="1" applyBorder="1" applyAlignment="1" applyProtection="1">
      <alignment horizontal="center" vertical="center"/>
      <protection hidden="1"/>
    </xf>
    <xf numFmtId="0" fontId="28" fillId="22" borderId="14" xfId="0"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7" fillId="9" borderId="39" xfId="0" applyNumberFormat="1" applyFont="1" applyFill="1" applyBorder="1" applyAlignment="1" applyProtection="1">
      <alignment horizontal="center" vertical="center"/>
      <protection hidden="1"/>
    </xf>
    <xf numFmtId="1" fontId="7" fillId="9" borderId="41" xfId="0" applyNumberFormat="1" applyFont="1" applyFill="1" applyBorder="1" applyAlignment="1" applyProtection="1">
      <alignment horizontal="center" vertical="center"/>
      <protection hidden="1"/>
    </xf>
    <xf numFmtId="1" fontId="7" fillId="9" borderId="42" xfId="0" applyNumberFormat="1" applyFont="1" applyFill="1" applyBorder="1" applyAlignment="1" applyProtection="1">
      <alignment horizontal="center" vertical="center"/>
      <protection hidden="1"/>
    </xf>
    <xf numFmtId="1" fontId="7" fillId="9" borderId="7" xfId="0" applyNumberFormat="1" applyFont="1" applyFill="1" applyBorder="1" applyAlignment="1" applyProtection="1">
      <alignment horizontal="center" vertical="center"/>
      <protection hidden="1"/>
    </xf>
    <xf numFmtId="1" fontId="7" fillId="9" borderId="12" xfId="0" applyNumberFormat="1" applyFont="1" applyFill="1" applyBorder="1" applyAlignment="1" applyProtection="1">
      <alignment horizontal="center" vertical="center"/>
      <protection hidden="1"/>
    </xf>
    <xf numFmtId="2" fontId="9" fillId="6" borderId="14" xfId="0" applyNumberFormat="1" applyFont="1" applyFill="1" applyBorder="1" applyProtection="1">
      <protection hidden="1"/>
    </xf>
    <xf numFmtId="2" fontId="9" fillId="6" borderId="15" xfId="0" applyNumberFormat="1" applyFont="1" applyFill="1" applyBorder="1" applyAlignment="1" applyProtection="1">
      <alignment horizontal="center" vertical="center"/>
      <protection hidden="1"/>
    </xf>
    <xf numFmtId="2" fontId="7"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7" fillId="6" borderId="15" xfId="0" applyNumberFormat="1" applyFont="1" applyFill="1" applyBorder="1" applyProtection="1">
      <protection hidden="1"/>
    </xf>
    <xf numFmtId="2" fontId="13" fillId="6" borderId="15" xfId="0" applyNumberFormat="1" applyFont="1" applyFill="1" applyBorder="1" applyAlignment="1" applyProtection="1">
      <alignment horizontal="left" vertical="center" wrapText="1"/>
      <protection hidden="1"/>
    </xf>
    <xf numFmtId="167" fontId="9" fillId="9" borderId="4" xfId="0" applyNumberFormat="1" applyFont="1" applyFill="1" applyBorder="1" applyAlignment="1" applyProtection="1">
      <alignment horizontal="center" vertical="center"/>
      <protection hidden="1"/>
    </xf>
    <xf numFmtId="167" fontId="9" fillId="9" borderId="5" xfId="0" applyNumberFormat="1" applyFont="1" applyFill="1" applyBorder="1" applyAlignment="1" applyProtection="1">
      <alignment horizontal="center" vertical="center"/>
      <protection hidden="1"/>
    </xf>
    <xf numFmtId="167" fontId="9" fillId="9" borderId="41" xfId="0" applyNumberFormat="1" applyFont="1" applyFill="1" applyBorder="1" applyAlignment="1" applyProtection="1">
      <alignment horizontal="center" vertical="center"/>
      <protection hidden="1"/>
    </xf>
    <xf numFmtId="169" fontId="9" fillId="9" borderId="41" xfId="0" applyNumberFormat="1" applyFont="1" applyFill="1" applyBorder="1" applyAlignment="1" applyProtection="1">
      <alignment horizontal="center" vertical="center"/>
      <protection hidden="1"/>
    </xf>
    <xf numFmtId="166" fontId="7" fillId="9" borderId="8" xfId="0" applyNumberFormat="1" applyFont="1" applyFill="1" applyBorder="1" applyAlignment="1" applyProtection="1">
      <alignment horizontal="center" vertical="center"/>
      <protection hidden="1"/>
    </xf>
    <xf numFmtId="164" fontId="7" fillId="9" borderId="42" xfId="0" applyNumberFormat="1" applyFont="1" applyFill="1" applyBorder="1" applyAlignment="1" applyProtection="1">
      <alignment horizontal="center" vertical="center"/>
      <protection hidden="1"/>
    </xf>
    <xf numFmtId="164" fontId="7" fillId="9" borderId="12"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protection hidden="1"/>
    </xf>
    <xf numFmtId="171" fontId="7" fillId="9" borderId="12" xfId="0" applyNumberFormat="1" applyFont="1" applyFill="1" applyBorder="1" applyAlignment="1" applyProtection="1">
      <alignment horizontal="center" vertical="center"/>
      <protection hidden="1"/>
    </xf>
    <xf numFmtId="1" fontId="13" fillId="6" borderId="5" xfId="0" applyNumberFormat="1" applyFont="1" applyFill="1" applyBorder="1" applyAlignment="1" applyProtection="1">
      <alignment horizontal="center" vertical="center" wrapText="1"/>
      <protection hidden="1"/>
    </xf>
    <xf numFmtId="1" fontId="13" fillId="6" borderId="39" xfId="0" applyNumberFormat="1" applyFont="1" applyFill="1" applyBorder="1" applyAlignment="1" applyProtection="1">
      <alignment horizontal="center" vertical="center" wrapText="1"/>
      <protection hidden="1"/>
    </xf>
    <xf numFmtId="171" fontId="13" fillId="9" borderId="42"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0" fontId="4" fillId="16" borderId="4" xfId="0" applyFont="1" applyFill="1" applyBorder="1" applyAlignment="1" applyProtection="1">
      <alignment horizontal="left" vertical="center" wrapText="1"/>
      <protection hidden="1"/>
    </xf>
    <xf numFmtId="0" fontId="7" fillId="9" borderId="5" xfId="0" applyFont="1" applyFill="1" applyBorder="1" applyAlignment="1" applyProtection="1">
      <alignment horizontal="center" vertical="center"/>
      <protection hidden="1"/>
    </xf>
    <xf numFmtId="0" fontId="4" fillId="16" borderId="5" xfId="0" applyFont="1" applyFill="1" applyBorder="1" applyAlignment="1" applyProtection="1">
      <alignment horizontal="left" vertical="center" wrapText="1"/>
      <protection hidden="1"/>
    </xf>
    <xf numFmtId="1" fontId="7" fillId="9" borderId="5" xfId="0" applyNumberFormat="1" applyFont="1" applyFill="1" applyBorder="1" applyAlignment="1" applyProtection="1">
      <alignment horizontal="center" vertical="center"/>
      <protection hidden="1"/>
    </xf>
    <xf numFmtId="0" fontId="34" fillId="16" borderId="5" xfId="0" applyFont="1" applyFill="1" applyBorder="1" applyAlignment="1" applyProtection="1">
      <alignment horizontal="left" vertical="center" wrapText="1"/>
      <protection hidden="1"/>
    </xf>
    <xf numFmtId="1" fontId="7" fillId="9" borderId="39" xfId="0" applyNumberFormat="1" applyFont="1" applyFill="1" applyBorder="1" applyAlignment="1" applyProtection="1">
      <alignment horizontal="center" vertical="center" wrapText="1"/>
      <protection hidden="1"/>
    </xf>
    <xf numFmtId="0" fontId="34" fillId="16" borderId="8" xfId="0" applyFont="1" applyFill="1" applyBorder="1" applyAlignment="1" applyProtection="1">
      <alignment horizontal="center" vertical="center" wrapText="1"/>
      <protection hidden="1"/>
    </xf>
    <xf numFmtId="0" fontId="7" fillId="9" borderId="8" xfId="0" applyFont="1" applyFill="1" applyBorder="1" applyAlignment="1" applyProtection="1">
      <alignment horizontal="center" vertical="center"/>
      <protection hidden="1"/>
    </xf>
    <xf numFmtId="0" fontId="4" fillId="16" borderId="8" xfId="0" applyFont="1" applyFill="1" applyBorder="1" applyAlignment="1" applyProtection="1">
      <alignment horizontal="left" vertical="center" wrapText="1"/>
      <protection hidden="1"/>
    </xf>
    <xf numFmtId="0" fontId="7" fillId="9" borderId="12" xfId="0" applyFont="1" applyFill="1" applyBorder="1" applyAlignment="1" applyProtection="1">
      <alignment horizontal="center" vertical="center"/>
      <protection hidden="1"/>
    </xf>
    <xf numFmtId="2" fontId="8" fillId="6" borderId="31" xfId="2" applyNumberFormat="1" applyFont="1" applyFill="1" applyBorder="1" applyAlignment="1" applyProtection="1">
      <protection hidden="1"/>
    </xf>
    <xf numFmtId="1" fontId="13" fillId="13" borderId="33" xfId="3" applyNumberFormat="1" applyFont="1" applyBorder="1" applyAlignment="1" applyProtection="1">
      <alignment horizontal="center" vertical="center"/>
      <protection locked="0" hidden="1"/>
    </xf>
    <xf numFmtId="1" fontId="8" fillId="13" borderId="14" xfId="3" applyNumberFormat="1" applyFont="1" applyBorder="1" applyAlignment="1" applyProtection="1">
      <alignment horizontal="center" vertical="center"/>
      <protection locked="0" hidden="1"/>
    </xf>
    <xf numFmtId="1" fontId="9" fillId="13" borderId="16" xfId="3" applyNumberFormat="1" applyFont="1" applyBorder="1" applyAlignment="1" applyProtection="1">
      <alignment horizontal="center" vertical="center"/>
      <protection locked="0" hidden="1"/>
    </xf>
    <xf numFmtId="2" fontId="7" fillId="0" borderId="40" xfId="0" applyNumberFormat="1" applyFont="1" applyBorder="1" applyAlignment="1" applyProtection="1">
      <alignment vertical="center"/>
      <protection hidden="1"/>
    </xf>
    <xf numFmtId="0" fontId="7" fillId="9" borderId="43" xfId="0" applyFont="1" applyFill="1" applyBorder="1" applyAlignment="1" applyProtection="1">
      <alignment horizontal="center" vertical="center"/>
      <protection hidden="1"/>
    </xf>
    <xf numFmtId="0" fontId="7" fillId="9" borderId="41" xfId="0" applyFont="1" applyFill="1" applyBorder="1" applyAlignment="1" applyProtection="1">
      <alignment horizontal="center" vertical="center"/>
      <protection hidden="1"/>
    </xf>
    <xf numFmtId="0" fontId="7" fillId="9" borderId="42" xfId="0" applyFont="1" applyFill="1" applyBorder="1" applyAlignment="1" applyProtection="1">
      <alignment horizontal="center" vertical="center"/>
      <protection hidden="1"/>
    </xf>
    <xf numFmtId="2" fontId="7" fillId="9" borderId="57" xfId="0" applyNumberFormat="1" applyFont="1" applyFill="1" applyBorder="1" applyAlignment="1" applyProtection="1">
      <alignment horizontal="centerContinuous" vertical="center" wrapText="1"/>
      <protection hidden="1"/>
    </xf>
    <xf numFmtId="2" fontId="7" fillId="9" borderId="65" xfId="0" applyNumberFormat="1" applyFont="1" applyFill="1" applyBorder="1" applyAlignment="1" applyProtection="1">
      <alignment horizontal="centerContinuous" vertical="center" wrapText="1"/>
      <protection hidden="1"/>
    </xf>
    <xf numFmtId="2" fontId="7" fillId="9" borderId="68" xfId="0" applyNumberFormat="1" applyFont="1" applyFill="1" applyBorder="1" applyAlignment="1" applyProtection="1">
      <alignment horizontal="centerContinuous" vertical="center" wrapText="1"/>
      <protection hidden="1"/>
    </xf>
    <xf numFmtId="1" fontId="7" fillId="9" borderId="55" xfId="0" applyNumberFormat="1" applyFont="1" applyFill="1" applyBorder="1" applyAlignment="1" applyProtection="1">
      <alignment horizontal="centerContinuous" vertical="center" wrapText="1"/>
      <protection hidden="1"/>
    </xf>
    <xf numFmtId="2" fontId="7" fillId="9" borderId="6" xfId="0" applyNumberFormat="1" applyFont="1" applyFill="1" applyBorder="1" applyAlignment="1" applyProtection="1">
      <alignment horizontal="centerContinuous" vertical="center" wrapText="1"/>
      <protection hidden="1"/>
    </xf>
    <xf numFmtId="1" fontId="7" fillId="13" borderId="56" xfId="3" applyNumberFormat="1" applyFont="1" applyBorder="1" applyAlignment="1" applyProtection="1">
      <alignment horizontal="center" vertical="center"/>
      <protection locked="0" hidden="1"/>
    </xf>
    <xf numFmtId="2" fontId="7" fillId="6" borderId="10"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left" vertical="center"/>
      <protection hidden="1"/>
    </xf>
    <xf numFmtId="2" fontId="7" fillId="6" borderId="11" xfId="0" applyNumberFormat="1" applyFont="1" applyFill="1" applyBorder="1" applyAlignment="1" applyProtection="1">
      <alignment horizontal="left" vertical="center"/>
      <protection hidden="1"/>
    </xf>
    <xf numFmtId="2" fontId="7" fillId="6" borderId="73" xfId="0" applyNumberFormat="1" applyFont="1" applyFill="1" applyBorder="1" applyAlignment="1" applyProtection="1">
      <alignment horizontal="center" vertical="center" wrapText="1"/>
      <protection hidden="1"/>
    </xf>
    <xf numFmtId="169" fontId="7" fillId="6" borderId="70" xfId="0" applyNumberFormat="1" applyFont="1" applyFill="1" applyBorder="1" applyAlignment="1" applyProtection="1">
      <alignment horizontal="center" vertical="center"/>
      <protection hidden="1"/>
    </xf>
    <xf numFmtId="169" fontId="7" fillId="6" borderId="71"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65" fontId="7" fillId="9" borderId="5" xfId="0" applyNumberFormat="1" applyFont="1" applyFill="1" applyBorder="1" applyAlignment="1" applyProtection="1">
      <alignment horizontal="center" vertical="center"/>
      <protection hidden="1"/>
    </xf>
    <xf numFmtId="2" fontId="17" fillId="6" borderId="7" xfId="0" applyNumberFormat="1" applyFont="1" applyFill="1" applyBorder="1" applyAlignment="1" applyProtection="1">
      <alignment horizontal="center" vertical="center" wrapText="1"/>
      <protection hidden="1"/>
    </xf>
    <xf numFmtId="2" fontId="17" fillId="6" borderId="8" xfId="0" applyNumberFormat="1" applyFont="1"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wrapText="1"/>
      <protection hidden="1"/>
    </xf>
    <xf numFmtId="0" fontId="3" fillId="6" borderId="5" xfId="2" applyFont="1" applyFill="1" applyBorder="1" applyAlignment="1" applyProtection="1">
      <alignment horizontal="center" vertical="center"/>
      <protection hidden="1"/>
    </xf>
    <xf numFmtId="0" fontId="37" fillId="6" borderId="8" xfId="2" applyFont="1" applyFill="1" applyBorder="1" applyAlignment="1" applyProtection="1">
      <alignment horizontal="center" vertical="center"/>
      <protection hidden="1"/>
    </xf>
    <xf numFmtId="0" fontId="28" fillId="6" borderId="33" xfId="0" applyFont="1" applyFill="1" applyBorder="1" applyAlignment="1" applyProtection="1">
      <alignment horizontal="center" vertical="center"/>
      <protection hidden="1"/>
    </xf>
    <xf numFmtId="0" fontId="28" fillId="0" borderId="39" xfId="0" applyFont="1" applyFill="1" applyBorder="1" applyAlignment="1" applyProtection="1">
      <alignment vertical="center"/>
      <protection hidden="1"/>
    </xf>
    <xf numFmtId="2" fontId="39" fillId="6" borderId="35" xfId="0" applyNumberFormat="1" applyFont="1" applyFill="1" applyBorder="1" applyAlignment="1" applyProtection="1">
      <alignment horizontal="center" vertical="center"/>
      <protection hidden="1"/>
    </xf>
    <xf numFmtId="0" fontId="29" fillId="0" borderId="58" xfId="0" applyFont="1" applyBorder="1" applyAlignment="1" applyProtection="1">
      <alignment horizontal="center" vertical="center"/>
      <protection hidden="1"/>
    </xf>
    <xf numFmtId="0" fontId="29" fillId="0" borderId="51" xfId="0" applyFont="1" applyBorder="1" applyProtection="1">
      <protection hidden="1"/>
    </xf>
    <xf numFmtId="0" fontId="29" fillId="0" borderId="51" xfId="0" applyFont="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protection hidden="1"/>
    </xf>
    <xf numFmtId="179" fontId="28" fillId="0" borderId="41" xfId="0" applyNumberFormat="1" applyFont="1" applyFill="1" applyBorder="1" applyAlignment="1" applyProtection="1">
      <alignment horizontal="center" vertical="center"/>
      <protection hidden="1"/>
    </xf>
    <xf numFmtId="11" fontId="28" fillId="0" borderId="1" xfId="0" applyNumberFormat="1" applyFont="1" applyFill="1" applyBorder="1" applyAlignment="1" applyProtection="1">
      <alignment horizontal="center" vertical="center"/>
      <protection hidden="1"/>
    </xf>
    <xf numFmtId="171" fontId="9" fillId="6" borderId="9" xfId="0" applyNumberFormat="1" applyFont="1" applyFill="1" applyBorder="1" applyAlignment="1" applyProtection="1">
      <alignment horizontal="center" vertical="center"/>
      <protection hidden="1"/>
    </xf>
    <xf numFmtId="171" fontId="9" fillId="6" borderId="10" xfId="0" applyNumberFormat="1" applyFont="1" applyFill="1" applyBorder="1" applyAlignment="1" applyProtection="1">
      <alignment horizontal="center" vertical="center"/>
      <protection hidden="1"/>
    </xf>
    <xf numFmtId="171" fontId="9" fillId="6" borderId="11" xfId="0" applyNumberFormat="1" applyFont="1" applyFill="1" applyBorder="1" applyAlignment="1" applyProtection="1">
      <alignment horizontal="center" vertical="center"/>
      <protection hidden="1"/>
    </xf>
    <xf numFmtId="1" fontId="7" fillId="9" borderId="68" xfId="0" applyNumberFormat="1" applyFont="1" applyFill="1" applyBorder="1" applyAlignment="1" applyProtection="1">
      <alignment horizontal="centerContinuous" vertical="center" wrapText="1"/>
      <protection hidden="1"/>
    </xf>
    <xf numFmtId="0" fontId="6"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164" fontId="7" fillId="0" borderId="0" xfId="0" applyNumberFormat="1" applyFont="1" applyProtection="1">
      <protection hidden="1"/>
    </xf>
    <xf numFmtId="0" fontId="28" fillId="22" borderId="22" xfId="0" applyFont="1" applyFill="1" applyBorder="1" applyAlignment="1" applyProtection="1">
      <alignment horizontal="center" vertical="center"/>
      <protection hidden="1"/>
    </xf>
    <xf numFmtId="2" fontId="13"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171" fontId="13" fillId="9" borderId="40" xfId="0" applyNumberFormat="1" applyFont="1" applyFill="1" applyBorder="1" applyAlignment="1" applyProtection="1">
      <alignment horizontal="center" vertical="center"/>
      <protection hidden="1"/>
    </xf>
    <xf numFmtId="171" fontId="7" fillId="0" borderId="0" xfId="0" applyNumberFormat="1" applyFont="1" applyFill="1" applyBorder="1" applyProtection="1">
      <protection hidden="1"/>
    </xf>
    <xf numFmtId="2" fontId="13" fillId="9" borderId="12"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Continuous" vertical="center"/>
      <protection hidden="1"/>
    </xf>
    <xf numFmtId="2" fontId="13" fillId="6" borderId="6" xfId="0" applyNumberFormat="1" applyFont="1" applyFill="1" applyBorder="1" applyAlignment="1" applyProtection="1">
      <alignment horizontal="centerContinuous" vertical="center"/>
      <protection hidden="1"/>
    </xf>
    <xf numFmtId="0" fontId="28" fillId="6" borderId="41" xfId="0" applyNumberFormat="1" applyFont="1" applyFill="1" applyBorder="1" applyAlignment="1" applyProtection="1">
      <alignment horizontal="center" vertical="center"/>
      <protection hidden="1"/>
    </xf>
    <xf numFmtId="2" fontId="8" fillId="6" borderId="8" xfId="0" applyNumberFormat="1" applyFont="1" applyFill="1" applyBorder="1" applyAlignment="1" applyProtection="1">
      <alignment horizontal="center" vertical="center"/>
      <protection hidden="1"/>
    </xf>
    <xf numFmtId="2" fontId="13" fillId="6" borderId="49" xfId="0" applyNumberFormat="1" applyFont="1" applyFill="1" applyBorder="1" applyAlignment="1" applyProtection="1">
      <alignment horizontal="center" vertical="center" wrapText="1"/>
      <protection hidden="1"/>
    </xf>
    <xf numFmtId="0" fontId="6" fillId="0" borderId="42"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40" fillId="12" borderId="74" xfId="0" applyFont="1" applyFill="1" applyBorder="1" applyAlignment="1" applyProtection="1">
      <alignment horizontal="center" vertical="center"/>
      <protection hidden="1"/>
    </xf>
    <xf numFmtId="0" fontId="40" fillId="12" borderId="51" xfId="0" applyFont="1" applyFill="1" applyBorder="1" applyAlignment="1" applyProtection="1">
      <alignment horizontal="center" vertical="center"/>
      <protection hidden="1"/>
    </xf>
    <xf numFmtId="0" fontId="40" fillId="12" borderId="51" xfId="0" applyFont="1" applyFill="1" applyBorder="1" applyAlignment="1" applyProtection="1">
      <alignment horizontal="center" vertical="center" wrapText="1"/>
      <protection hidden="1"/>
    </xf>
    <xf numFmtId="0" fontId="40" fillId="12" borderId="59"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protection locked="0" hidden="1"/>
    </xf>
    <xf numFmtId="180" fontId="29" fillId="15" borderId="1" xfId="0" applyNumberFormat="1" applyFont="1" applyFill="1" applyBorder="1" applyAlignment="1" applyProtection="1">
      <alignment horizontal="center" vertical="center"/>
      <protection hidden="1"/>
    </xf>
    <xf numFmtId="183" fontId="7" fillId="9" borderId="1"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0" fontId="28" fillId="19" borderId="4" xfId="0" applyFont="1" applyFill="1" applyBorder="1" applyAlignment="1" applyProtection="1">
      <alignment horizontal="center" vertical="center"/>
      <protection hidden="1"/>
    </xf>
    <xf numFmtId="0" fontId="28" fillId="19" borderId="5" xfId="0" applyFont="1" applyFill="1" applyBorder="1" applyAlignment="1" applyProtection="1">
      <alignment horizontal="center" vertical="center"/>
      <protection hidden="1"/>
    </xf>
    <xf numFmtId="171" fontId="28" fillId="19" borderId="5" xfId="0" applyNumberFormat="1" applyFont="1" applyFill="1" applyBorder="1" applyAlignment="1" applyProtection="1">
      <alignment horizontal="center" vertical="center"/>
      <protection hidden="1"/>
    </xf>
    <xf numFmtId="0" fontId="28" fillId="19" borderId="59" xfId="0" applyFont="1" applyFill="1" applyBorder="1" applyAlignment="1" applyProtection="1">
      <alignment horizontal="center" vertical="center"/>
      <protection hidden="1"/>
    </xf>
    <xf numFmtId="0" fontId="28" fillId="19" borderId="41" xfId="0" applyFont="1" applyFill="1" applyBorder="1" applyAlignment="1" applyProtection="1">
      <alignment horizontal="center" vertical="center"/>
      <protection hidden="1"/>
    </xf>
    <xf numFmtId="0" fontId="28" fillId="19" borderId="20" xfId="0" applyFont="1" applyFill="1" applyBorder="1" applyAlignment="1" applyProtection="1">
      <alignment horizontal="center" vertical="center"/>
      <protection hidden="1"/>
    </xf>
    <xf numFmtId="171" fontId="28" fillId="19" borderId="20" xfId="0" applyNumberFormat="1" applyFont="1" applyFill="1" applyBorder="1" applyAlignment="1" applyProtection="1">
      <alignment horizontal="center" vertical="center"/>
      <protection hidden="1"/>
    </xf>
    <xf numFmtId="0" fontId="28" fillId="19" borderId="42" xfId="0" applyFont="1" applyFill="1" applyBorder="1" applyAlignment="1" applyProtection="1">
      <alignment horizontal="center" vertical="center"/>
      <protection hidden="1"/>
    </xf>
    <xf numFmtId="171" fontId="28" fillId="19" borderId="7" xfId="0" applyNumberFormat="1" applyFont="1" applyFill="1" applyBorder="1" applyAlignment="1" applyProtection="1">
      <alignment horizontal="center" vertical="center"/>
      <protection hidden="1"/>
    </xf>
    <xf numFmtId="0" fontId="28" fillId="19" borderId="49" xfId="0" applyFont="1" applyFill="1" applyBorder="1" applyAlignment="1" applyProtection="1">
      <alignment horizontal="center" vertical="center"/>
      <protection hidden="1"/>
    </xf>
    <xf numFmtId="171" fontId="28" fillId="19" borderId="49" xfId="0" applyNumberFormat="1" applyFont="1" applyFill="1" applyBorder="1" applyAlignment="1" applyProtection="1">
      <alignment horizontal="center" vertical="center"/>
      <protection hidden="1"/>
    </xf>
    <xf numFmtId="0" fontId="28" fillId="19" borderId="12" xfId="0" applyFont="1" applyFill="1" applyBorder="1" applyAlignment="1" applyProtection="1">
      <alignment horizontal="center" vertical="center"/>
      <protection hidden="1"/>
    </xf>
    <xf numFmtId="0" fontId="28" fillId="19" borderId="39" xfId="0" applyFont="1" applyFill="1" applyBorder="1" applyAlignment="1" applyProtection="1">
      <alignment horizontal="center" vertical="center"/>
      <protection hidden="1"/>
    </xf>
    <xf numFmtId="171" fontId="28" fillId="19" borderId="41" xfId="0" applyNumberFormat="1" applyFont="1" applyFill="1" applyBorder="1" applyAlignment="1" applyProtection="1">
      <alignment horizontal="center" vertical="center"/>
      <protection hidden="1"/>
    </xf>
    <xf numFmtId="171" fontId="28" fillId="19" borderId="1" xfId="0" applyNumberFormat="1" applyFont="1" applyFill="1" applyBorder="1" applyAlignment="1" applyProtection="1">
      <alignment horizontal="center" vertical="center"/>
      <protection hidden="1"/>
    </xf>
    <xf numFmtId="0" fontId="28" fillId="19" borderId="7" xfId="0" applyFont="1" applyFill="1" applyBorder="1" applyAlignment="1" applyProtection="1">
      <alignment horizontal="center" vertical="center"/>
      <protection hidden="1"/>
    </xf>
    <xf numFmtId="0" fontId="28" fillId="19" borderId="8" xfId="0" applyFont="1" applyFill="1" applyBorder="1" applyAlignment="1" applyProtection="1">
      <alignment horizontal="center" vertical="center"/>
      <protection hidden="1"/>
    </xf>
    <xf numFmtId="0" fontId="28" fillId="19" borderId="1" xfId="0" applyFont="1" applyFill="1" applyBorder="1" applyAlignment="1" applyProtection="1">
      <alignment horizontal="center" vertical="center"/>
      <protection hidden="1"/>
    </xf>
    <xf numFmtId="171" fontId="28" fillId="19" borderId="4" xfId="0" applyNumberFormat="1" applyFont="1" applyFill="1" applyBorder="1" applyAlignment="1" applyProtection="1">
      <alignment horizontal="center" vertical="center"/>
      <protection hidden="1"/>
    </xf>
    <xf numFmtId="177" fontId="28" fillId="19" borderId="5" xfId="0" applyNumberFormat="1" applyFont="1" applyFill="1" applyBorder="1" applyAlignment="1" applyProtection="1">
      <alignment horizontal="center" vertical="center" wrapText="1"/>
      <protection hidden="1"/>
    </xf>
    <xf numFmtId="177" fontId="28" fillId="19" borderId="39" xfId="0" applyNumberFormat="1" applyFont="1" applyFill="1" applyBorder="1" applyAlignment="1" applyProtection="1">
      <alignment horizontal="center" vertical="center" wrapText="1"/>
      <protection hidden="1"/>
    </xf>
    <xf numFmtId="177" fontId="28" fillId="19" borderId="1" xfId="0" applyNumberFormat="1" applyFont="1" applyFill="1" applyBorder="1" applyAlignment="1" applyProtection="1">
      <alignment horizontal="center" vertical="center" wrapText="1"/>
      <protection hidden="1"/>
    </xf>
    <xf numFmtId="177" fontId="28" fillId="19" borderId="42" xfId="0" applyNumberFormat="1" applyFont="1" applyFill="1" applyBorder="1" applyAlignment="1" applyProtection="1">
      <alignment horizontal="center" vertical="center" wrapText="1"/>
      <protection hidden="1"/>
    </xf>
    <xf numFmtId="177" fontId="28" fillId="19" borderId="8" xfId="0" applyNumberFormat="1" applyFont="1" applyFill="1" applyBorder="1" applyAlignment="1" applyProtection="1">
      <alignment horizontal="center" vertical="center" wrapText="1"/>
      <protection hidden="1"/>
    </xf>
    <xf numFmtId="177" fontId="28" fillId="19" borderId="12" xfId="0" applyNumberFormat="1" applyFont="1" applyFill="1" applyBorder="1" applyAlignment="1" applyProtection="1">
      <alignment horizontal="center" vertical="center" wrapText="1"/>
      <protection hidden="1"/>
    </xf>
    <xf numFmtId="171" fontId="28" fillId="19" borderId="39" xfId="0" applyNumberFormat="1" applyFont="1" applyFill="1" applyBorder="1" applyAlignment="1" applyProtection="1">
      <alignment horizontal="center" vertical="center" wrapText="1"/>
      <protection hidden="1"/>
    </xf>
    <xf numFmtId="171" fontId="28" fillId="19" borderId="42" xfId="0" applyNumberFormat="1" applyFont="1" applyFill="1" applyBorder="1" applyAlignment="1" applyProtection="1">
      <alignment horizontal="center" vertical="center" wrapText="1"/>
      <protection hidden="1"/>
    </xf>
    <xf numFmtId="171" fontId="28" fillId="19" borderId="8" xfId="0" applyNumberFormat="1" applyFont="1" applyFill="1" applyBorder="1" applyAlignment="1" applyProtection="1">
      <alignment horizontal="center" vertical="center"/>
      <protection hidden="1"/>
    </xf>
    <xf numFmtId="171" fontId="0" fillId="19" borderId="12" xfId="0" applyNumberFormat="1" applyFill="1" applyBorder="1" applyAlignment="1" applyProtection="1">
      <alignment horizontal="center" vertical="center" wrapText="1"/>
      <protection hidden="1"/>
    </xf>
    <xf numFmtId="171" fontId="28" fillId="19" borderId="12" xfId="0" applyNumberFormat="1" applyFont="1" applyFill="1" applyBorder="1" applyAlignment="1" applyProtection="1">
      <alignment horizontal="center" vertical="center" wrapText="1"/>
      <protection hidden="1"/>
    </xf>
    <xf numFmtId="0" fontId="28" fillId="19" borderId="12" xfId="0" applyFont="1" applyFill="1" applyBorder="1" applyAlignment="1" applyProtection="1">
      <alignment horizontal="center" vertical="center" wrapText="1"/>
      <protection hidden="1"/>
    </xf>
    <xf numFmtId="0" fontId="6" fillId="6" borderId="42" xfId="0" applyFont="1" applyFill="1" applyBorder="1" applyAlignment="1" applyProtection="1">
      <alignment horizontal="center" vertical="center"/>
      <protection hidden="1"/>
    </xf>
    <xf numFmtId="0" fontId="29" fillId="6" borderId="41" xfId="0" applyFont="1" applyFill="1" applyBorder="1" applyAlignment="1" applyProtection="1">
      <alignment horizontal="center" vertical="center"/>
      <protection hidden="1"/>
    </xf>
    <xf numFmtId="182" fontId="7" fillId="7" borderId="1" xfId="0" applyNumberFormat="1" applyFont="1" applyFill="1" applyBorder="1" applyAlignment="1" applyProtection="1">
      <alignment horizontal="center" vertical="center"/>
      <protection locked="0" hidden="1"/>
    </xf>
    <xf numFmtId="185" fontId="7" fillId="9" borderId="1" xfId="0" applyNumberFormat="1" applyFont="1" applyFill="1" applyBorder="1" applyAlignment="1" applyProtection="1">
      <alignment horizontal="center" vertical="center"/>
      <protection hidden="1"/>
    </xf>
    <xf numFmtId="166" fontId="7" fillId="6" borderId="69" xfId="0" applyNumberFormat="1" applyFont="1" applyFill="1" applyBorder="1" applyAlignment="1" applyProtection="1">
      <alignment horizontal="center" vertical="center"/>
      <protection hidden="1"/>
    </xf>
    <xf numFmtId="166" fontId="7" fillId="9" borderId="5" xfId="0" applyNumberFormat="1" applyFont="1" applyFill="1" applyBorder="1" applyAlignment="1" applyProtection="1">
      <alignment horizontal="center" vertical="center"/>
      <protection hidden="1"/>
    </xf>
    <xf numFmtId="164" fontId="7" fillId="9" borderId="39" xfId="0" applyNumberFormat="1" applyFont="1" applyFill="1" applyBorder="1" applyAlignment="1" applyProtection="1">
      <alignment horizontal="center" vertical="center"/>
      <protection hidden="1"/>
    </xf>
    <xf numFmtId="171" fontId="7" fillId="7" borderId="4" xfId="0" applyNumberFormat="1" applyFont="1" applyFill="1" applyBorder="1" applyAlignment="1" applyProtection="1">
      <alignment horizontal="center" vertical="center"/>
      <protection locked="0" hidden="1"/>
    </xf>
    <xf numFmtId="171" fontId="7" fillId="7" borderId="5" xfId="0" applyNumberFormat="1" applyFont="1" applyFill="1" applyBorder="1" applyAlignment="1" applyProtection="1">
      <alignment horizontal="center" vertical="center"/>
      <protection locked="0" hidden="1"/>
    </xf>
    <xf numFmtId="184" fontId="7" fillId="9" borderId="5" xfId="0" applyNumberFormat="1" applyFont="1" applyFill="1" applyBorder="1" applyAlignment="1" applyProtection="1">
      <alignment horizontal="center" vertical="center"/>
      <protection hidden="1"/>
    </xf>
    <xf numFmtId="183" fontId="7" fillId="9" borderId="8" xfId="0" applyNumberFormat="1" applyFont="1" applyFill="1" applyBorder="1" applyAlignment="1" applyProtection="1">
      <alignment horizontal="center" vertical="center"/>
      <protection hidden="1"/>
    </xf>
    <xf numFmtId="185" fontId="7" fillId="9" borderId="8" xfId="0" applyNumberFormat="1" applyFont="1" applyFill="1" applyBorder="1" applyAlignment="1" applyProtection="1">
      <alignment horizontal="center" vertical="center"/>
      <protection hidden="1"/>
    </xf>
    <xf numFmtId="1" fontId="7" fillId="6" borderId="58" xfId="0" applyNumberFormat="1" applyFont="1" applyFill="1" applyBorder="1" applyAlignment="1" applyProtection="1">
      <alignment horizontal="center" vertical="center"/>
      <protection hidden="1"/>
    </xf>
    <xf numFmtId="1" fontId="7" fillId="6" borderId="51" xfId="0" applyNumberFormat="1" applyFont="1" applyFill="1" applyBorder="1" applyAlignment="1" applyProtection="1">
      <alignment horizontal="center" vertical="center"/>
      <protection hidden="1"/>
    </xf>
    <xf numFmtId="1" fontId="7" fillId="6" borderId="59" xfId="0" applyNumberFormat="1" applyFont="1" applyFill="1" applyBorder="1" applyAlignment="1" applyProtection="1">
      <alignment horizontal="center" vertical="center"/>
      <protection hidden="1"/>
    </xf>
    <xf numFmtId="182" fontId="7" fillId="7" borderId="42" xfId="0" applyNumberFormat="1" applyFont="1" applyFill="1" applyBorder="1" applyAlignment="1" applyProtection="1">
      <alignment horizontal="center" vertical="center"/>
      <protection locked="0" hidden="1"/>
    </xf>
    <xf numFmtId="2" fontId="13" fillId="6" borderId="34" xfId="0" applyNumberFormat="1" applyFont="1" applyFill="1" applyBorder="1" applyAlignment="1" applyProtection="1">
      <alignment horizontal="center" wrapText="1"/>
      <protection hidden="1"/>
    </xf>
    <xf numFmtId="2" fontId="13" fillId="6" borderId="9"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protection hidden="1"/>
    </xf>
    <xf numFmtId="1" fontId="13" fillId="6" borderId="10" xfId="0" applyNumberFormat="1" applyFont="1" applyFill="1" applyBorder="1" applyAlignment="1" applyProtection="1">
      <alignment horizontal="center" vertical="center"/>
      <protection hidden="1"/>
    </xf>
    <xf numFmtId="1" fontId="13" fillId="6" borderId="11" xfId="0" applyNumberFormat="1" applyFont="1" applyFill="1" applyBorder="1" applyAlignment="1" applyProtection="1">
      <alignment horizontal="center" vertical="center"/>
      <protection hidden="1"/>
    </xf>
    <xf numFmtId="175" fontId="7" fillId="4" borderId="10" xfId="0" applyNumberFormat="1" applyFont="1" applyFill="1" applyBorder="1" applyAlignment="1" applyProtection="1">
      <alignment horizontal="center" vertical="center"/>
      <protection locked="0" hidden="1"/>
    </xf>
    <xf numFmtId="2" fontId="13" fillId="6" borderId="10" xfId="0" applyNumberFormat="1" applyFont="1" applyFill="1" applyBorder="1" applyAlignment="1" applyProtection="1">
      <alignment horizontal="center" vertical="center" wrapText="1"/>
      <protection hidden="1"/>
    </xf>
    <xf numFmtId="171" fontId="7" fillId="4" borderId="10" xfId="0" applyNumberFormat="1" applyFont="1" applyFill="1" applyBorder="1" applyAlignment="1" applyProtection="1">
      <alignment horizontal="center" vertical="center"/>
      <protection locked="0" hidden="1"/>
    </xf>
    <xf numFmtId="171" fontId="7" fillId="4" borderId="11" xfId="0" applyNumberFormat="1" applyFont="1" applyFill="1" applyBorder="1" applyAlignment="1" applyProtection="1">
      <alignment horizontal="center" vertical="center" wrapText="1"/>
      <protection locked="0" hidden="1"/>
    </xf>
    <xf numFmtId="2" fontId="7" fillId="6" borderId="35" xfId="0" applyNumberFormat="1" applyFont="1" applyFill="1" applyBorder="1" applyAlignment="1" applyProtection="1">
      <alignment horizontal="center" vertical="center" wrapText="1"/>
      <protection hidden="1"/>
    </xf>
    <xf numFmtId="1" fontId="23"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horizontal="center" vertical="center"/>
      <protection hidden="1"/>
    </xf>
    <xf numFmtId="0" fontId="41" fillId="6" borderId="4" xfId="0" applyFont="1" applyFill="1" applyBorder="1" applyAlignment="1" applyProtection="1">
      <alignment horizontal="center" vertical="center" wrapText="1"/>
      <protection hidden="1"/>
    </xf>
    <xf numFmtId="0" fontId="42" fillId="6" borderId="5" xfId="0" applyFont="1" applyFill="1" applyBorder="1" applyAlignment="1" applyProtection="1">
      <alignment horizontal="center" vertical="center" wrapText="1"/>
      <protection hidden="1"/>
    </xf>
    <xf numFmtId="0" fontId="41" fillId="6" borderId="7" xfId="0" applyFont="1" applyFill="1" applyBorder="1" applyAlignment="1" applyProtection="1">
      <alignment horizontal="center" vertical="center" wrapText="1"/>
      <protection hidden="1"/>
    </xf>
    <xf numFmtId="0" fontId="41" fillId="6" borderId="8" xfId="0" applyFont="1" applyFill="1" applyBorder="1" applyAlignment="1" applyProtection="1">
      <alignment horizontal="center" vertical="center" wrapText="1"/>
      <protection hidden="1"/>
    </xf>
    <xf numFmtId="0" fontId="23" fillId="6" borderId="35" xfId="0" applyFont="1" applyFill="1" applyBorder="1" applyAlignment="1" applyProtection="1">
      <alignment horizontal="center" vertical="center" wrapText="1"/>
      <protection hidden="1"/>
    </xf>
    <xf numFmtId="0" fontId="28" fillId="6" borderId="1" xfId="0" applyNumberFormat="1" applyFont="1" applyFill="1" applyBorder="1" applyAlignment="1" applyProtection="1">
      <alignment horizontal="center" vertical="center" wrapText="1"/>
      <protection hidden="1"/>
    </xf>
    <xf numFmtId="0" fontId="28" fillId="6" borderId="42" xfId="0" applyNumberFormat="1" applyFont="1" applyFill="1" applyBorder="1" applyAlignment="1" applyProtection="1">
      <alignment horizontal="center" vertical="center" wrapText="1"/>
      <protection hidden="1"/>
    </xf>
    <xf numFmtId="0" fontId="28" fillId="15" borderId="1" xfId="0" applyNumberFormat="1" applyFont="1" applyFill="1" applyBorder="1" applyAlignment="1" applyProtection="1">
      <alignment horizontal="center" vertical="center"/>
      <protection locked="0" hidden="1"/>
    </xf>
    <xf numFmtId="168" fontId="28" fillId="15" borderId="1" xfId="0" applyNumberFormat="1" applyFont="1" applyFill="1" applyBorder="1" applyAlignment="1" applyProtection="1">
      <alignment horizontal="center" vertical="center"/>
      <protection locked="0" hidden="1"/>
    </xf>
    <xf numFmtId="0" fontId="28" fillId="15" borderId="1" xfId="0" applyNumberFormat="1" applyFont="1" applyFill="1" applyBorder="1" applyAlignment="1" applyProtection="1">
      <alignment horizontal="center" vertical="center" wrapText="1"/>
      <protection locked="0" hidden="1"/>
    </xf>
    <xf numFmtId="187" fontId="28" fillId="15" borderId="1" xfId="0" applyNumberFormat="1" applyFont="1" applyFill="1" applyBorder="1" applyAlignment="1" applyProtection="1">
      <alignment horizontal="center" vertical="center" wrapText="1"/>
      <protection locked="0" hidden="1"/>
    </xf>
    <xf numFmtId="0" fontId="29" fillId="19" borderId="5" xfId="0" applyFont="1" applyFill="1" applyBorder="1" applyAlignment="1" applyProtection="1">
      <alignment horizontal="center" vertical="center"/>
      <protection hidden="1"/>
    </xf>
    <xf numFmtId="169" fontId="29" fillId="19" borderId="5" xfId="0" applyNumberFormat="1" applyFont="1" applyFill="1" applyBorder="1" applyAlignment="1" applyProtection="1">
      <alignment horizontal="center" vertical="center"/>
      <protection hidden="1"/>
    </xf>
    <xf numFmtId="169" fontId="29" fillId="19" borderId="1" xfId="0" applyNumberFormat="1" applyFont="1" applyFill="1" applyBorder="1" applyAlignment="1" applyProtection="1">
      <alignment horizontal="center" vertical="center"/>
      <protection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0" fontId="28" fillId="19" borderId="42" xfId="0" applyFont="1" applyFill="1" applyBorder="1" applyAlignment="1" applyProtection="1">
      <alignment horizontal="center" vertical="center" wrapText="1"/>
      <protection hidden="1"/>
    </xf>
    <xf numFmtId="0" fontId="28" fillId="19" borderId="39" xfId="0" applyFont="1" applyFill="1" applyBorder="1" applyAlignment="1" applyProtection="1">
      <alignment horizontal="center" vertical="center" wrapText="1"/>
      <protection hidden="1"/>
    </xf>
    <xf numFmtId="0" fontId="29" fillId="19" borderId="1" xfId="0" applyFont="1" applyFill="1" applyBorder="1" applyAlignment="1" applyProtection="1">
      <alignment horizontal="center" vertical="center" wrapText="1"/>
      <protection hidden="1"/>
    </xf>
    <xf numFmtId="0" fontId="29" fillId="19" borderId="1" xfId="0" applyFont="1" applyFill="1" applyBorder="1" applyAlignment="1" applyProtection="1">
      <alignment horizontal="center" vertical="center"/>
      <protection hidden="1"/>
    </xf>
    <xf numFmtId="168" fontId="29" fillId="15" borderId="1" xfId="0" applyNumberFormat="1" applyFont="1" applyFill="1" applyBorder="1" applyAlignment="1" applyProtection="1">
      <alignment horizontal="center" vertical="center"/>
      <protection hidden="1"/>
    </xf>
    <xf numFmtId="181" fontId="29" fillId="15" borderId="1" xfId="0" applyNumberFormat="1" applyFont="1" applyFill="1" applyBorder="1" applyAlignment="1" applyProtection="1">
      <alignment horizontal="center" vertical="center"/>
      <protection hidden="1"/>
    </xf>
    <xf numFmtId="0" fontId="29" fillId="15" borderId="1" xfId="4" applyFont="1" applyFill="1" applyBorder="1" applyProtection="1">
      <alignment horizontal="center" vertical="center"/>
      <protection hidden="1"/>
    </xf>
    <xf numFmtId="0" fontId="29" fillId="15" borderId="1" xfId="0" applyFont="1" applyFill="1" applyBorder="1" applyProtection="1">
      <protection hidden="1"/>
    </xf>
    <xf numFmtId="168" fontId="29" fillId="15" borderId="8" xfId="0" applyNumberFormat="1" applyFont="1" applyFill="1" applyBorder="1" applyAlignment="1" applyProtection="1">
      <alignment horizontal="center" vertical="center"/>
      <protection hidden="1"/>
    </xf>
    <xf numFmtId="168" fontId="29" fillId="15" borderId="5" xfId="0" applyNumberFormat="1" applyFont="1" applyFill="1" applyBorder="1" applyAlignment="1" applyProtection="1">
      <alignment horizontal="center" vertical="center"/>
      <protection hidden="1"/>
    </xf>
    <xf numFmtId="181" fontId="29" fillId="15" borderId="5" xfId="0" applyNumberFormat="1" applyFont="1" applyFill="1" applyBorder="1" applyAlignment="1" applyProtection="1">
      <alignment horizontal="center" vertical="center"/>
      <protection hidden="1"/>
    </xf>
    <xf numFmtId="181" fontId="29" fillId="15" borderId="8" xfId="0" applyNumberFormat="1" applyFont="1" applyFill="1" applyBorder="1" applyAlignment="1" applyProtection="1">
      <alignment horizontal="center" vertical="center"/>
      <protection hidden="1"/>
    </xf>
    <xf numFmtId="0" fontId="29" fillId="15" borderId="8" xfId="4" applyFont="1" applyFill="1" applyBorder="1" applyProtection="1">
      <alignment horizontal="center" vertical="center"/>
      <protection hidden="1"/>
    </xf>
    <xf numFmtId="0" fontId="29" fillId="15" borderId="5" xfId="4" applyFont="1" applyFill="1" applyBorder="1" applyProtection="1">
      <alignment horizontal="center" vertical="center"/>
      <protection hidden="1"/>
    </xf>
    <xf numFmtId="0" fontId="29" fillId="15" borderId="5" xfId="0" applyFont="1" applyFill="1" applyBorder="1" applyProtection="1">
      <protection hidden="1"/>
    </xf>
    <xf numFmtId="171" fontId="28" fillId="19" borderId="39" xfId="0" applyNumberFormat="1" applyFont="1" applyFill="1" applyBorder="1" applyAlignment="1" applyProtection="1">
      <alignment horizontal="center" vertical="center"/>
      <protection hidden="1"/>
    </xf>
    <xf numFmtId="171" fontId="28" fillId="19" borderId="42" xfId="0" applyNumberFormat="1" applyFont="1" applyFill="1" applyBorder="1" applyAlignment="1" applyProtection="1">
      <alignment horizontal="center" vertical="center"/>
      <protection hidden="1"/>
    </xf>
    <xf numFmtId="2" fontId="28" fillId="19" borderId="5" xfId="0" applyNumberFormat="1" applyFont="1" applyFill="1" applyBorder="1" applyAlignment="1" applyProtection="1">
      <alignment horizontal="center" vertical="center"/>
      <protection hidden="1"/>
    </xf>
    <xf numFmtId="2" fontId="28" fillId="19" borderId="1" xfId="0" applyNumberFormat="1" applyFont="1" applyFill="1" applyBorder="1" applyAlignment="1" applyProtection="1">
      <alignment horizontal="center" vertical="center"/>
      <protection hidden="1"/>
    </xf>
    <xf numFmtId="2" fontId="28" fillId="19" borderId="8" xfId="0" applyNumberFormat="1" applyFont="1" applyFill="1" applyBorder="1" applyAlignment="1" applyProtection="1">
      <alignment horizontal="center" vertical="center"/>
      <protection hidden="1"/>
    </xf>
    <xf numFmtId="0" fontId="29" fillId="19" borderId="5" xfId="0" applyFont="1" applyFill="1" applyBorder="1" applyAlignment="1" applyProtection="1">
      <alignment horizontal="center" vertical="center" wrapText="1"/>
      <protection hidden="1"/>
    </xf>
    <xf numFmtId="0" fontId="0" fillId="19" borderId="5" xfId="0" applyFill="1" applyBorder="1" applyAlignment="1" applyProtection="1">
      <alignment horizontal="center" vertical="center" wrapText="1"/>
      <protection hidden="1"/>
    </xf>
    <xf numFmtId="0" fontId="0" fillId="19" borderId="8" xfId="0" applyFill="1" applyBorder="1" applyAlignment="1" applyProtection="1">
      <alignment vertical="center" wrapText="1"/>
      <protection hidden="1"/>
    </xf>
    <xf numFmtId="4" fontId="28" fillId="19" borderId="5" xfId="0" applyNumberFormat="1" applyFont="1" applyFill="1" applyBorder="1" applyAlignment="1" applyProtection="1">
      <alignment horizontal="center" vertical="center" wrapText="1"/>
      <protection hidden="1"/>
    </xf>
    <xf numFmtId="178" fontId="28" fillId="19" borderId="39" xfId="0" applyNumberFormat="1" applyFont="1" applyFill="1" applyBorder="1" applyAlignment="1" applyProtection="1">
      <alignment horizontal="center" vertical="center" wrapText="1"/>
      <protection hidden="1"/>
    </xf>
    <xf numFmtId="4" fontId="28" fillId="19" borderId="1" xfId="0" applyNumberFormat="1" applyFont="1" applyFill="1" applyBorder="1" applyAlignment="1" applyProtection="1">
      <alignment horizontal="center" vertical="center" wrapText="1"/>
      <protection hidden="1"/>
    </xf>
    <xf numFmtId="4" fontId="28" fillId="19" borderId="8" xfId="0" applyNumberFormat="1" applyFont="1" applyFill="1" applyBorder="1" applyAlignment="1" applyProtection="1">
      <alignment horizontal="center" vertical="center" wrapText="1"/>
      <protection hidden="1"/>
    </xf>
    <xf numFmtId="1" fontId="9" fillId="13" borderId="16" xfId="3" applyNumberFormat="1" applyFont="1" applyBorder="1" applyAlignment="1" applyProtection="1">
      <alignment horizontal="center" vertical="center" wrapText="1"/>
      <protection locked="0" hidden="1"/>
    </xf>
    <xf numFmtId="191" fontId="7" fillId="9" borderId="1" xfId="0" applyNumberFormat="1" applyFont="1" applyFill="1" applyBorder="1" applyAlignment="1" applyProtection="1">
      <alignment horizontal="center" vertical="center"/>
      <protection hidden="1"/>
    </xf>
    <xf numFmtId="192" fontId="7" fillId="7" borderId="4" xfId="0" applyNumberFormat="1" applyFont="1" applyFill="1" applyBorder="1" applyAlignment="1" applyProtection="1">
      <alignment horizontal="center" vertical="center"/>
      <protection locked="0" hidden="1"/>
    </xf>
    <xf numFmtId="192" fontId="7" fillId="7" borderId="1" xfId="0" applyNumberFormat="1" applyFont="1" applyFill="1" applyBorder="1" applyAlignment="1" applyProtection="1">
      <alignment horizontal="center" vertical="center"/>
      <protection locked="0" hidden="1"/>
    </xf>
    <xf numFmtId="192" fontId="7" fillId="7" borderId="5" xfId="0" applyNumberFormat="1" applyFont="1" applyFill="1" applyBorder="1" applyAlignment="1" applyProtection="1">
      <alignment horizontal="center" vertical="center"/>
      <protection locked="0" hidden="1"/>
    </xf>
    <xf numFmtId="192" fontId="7" fillId="7" borderId="39" xfId="0" applyNumberFormat="1" applyFont="1" applyFill="1" applyBorder="1" applyAlignment="1" applyProtection="1">
      <alignment horizontal="center" vertical="center"/>
      <protection locked="0" hidden="1"/>
    </xf>
    <xf numFmtId="192" fontId="7" fillId="7" borderId="41" xfId="0" applyNumberFormat="1" applyFont="1" applyFill="1" applyBorder="1" applyAlignment="1" applyProtection="1">
      <alignment horizontal="center" vertical="center"/>
      <protection locked="0" hidden="1"/>
    </xf>
    <xf numFmtId="192" fontId="7" fillId="7" borderId="42" xfId="0" applyNumberFormat="1" applyFont="1" applyFill="1" applyBorder="1" applyAlignment="1" applyProtection="1">
      <alignment horizontal="center" vertical="center"/>
      <protection locked="0" hidden="1"/>
    </xf>
    <xf numFmtId="192" fontId="7" fillId="7" borderId="7" xfId="0" applyNumberFormat="1" applyFont="1" applyFill="1" applyBorder="1" applyAlignment="1" applyProtection="1">
      <alignment horizontal="center" vertical="center"/>
      <protection locked="0" hidden="1"/>
    </xf>
    <xf numFmtId="192" fontId="7" fillId="7" borderId="8" xfId="0" applyNumberFormat="1" applyFont="1" applyFill="1" applyBorder="1" applyAlignment="1" applyProtection="1">
      <alignment horizontal="center" vertical="center"/>
      <protection locked="0" hidden="1"/>
    </xf>
    <xf numFmtId="2" fontId="7" fillId="6" borderId="69" xfId="0" applyNumberFormat="1" applyFont="1" applyFill="1" applyBorder="1" applyAlignment="1" applyProtection="1">
      <alignment horizontal="center" vertical="center"/>
      <protection hidden="1"/>
    </xf>
    <xf numFmtId="1" fontId="7" fillId="6" borderId="70" xfId="0" applyNumberFormat="1" applyFont="1" applyFill="1" applyBorder="1" applyAlignment="1" applyProtection="1">
      <alignment horizontal="center" vertical="center" wrapText="1"/>
      <protection hidden="1"/>
    </xf>
    <xf numFmtId="1" fontId="7" fillId="6" borderId="71" xfId="0" applyNumberFormat="1" applyFont="1" applyFill="1" applyBorder="1" applyAlignment="1" applyProtection="1">
      <alignment horizontal="center" vertical="center" wrapText="1"/>
      <protection hidden="1"/>
    </xf>
    <xf numFmtId="194" fontId="7" fillId="7" borderId="12" xfId="0" applyNumberFormat="1" applyFont="1" applyFill="1" applyBorder="1" applyAlignment="1" applyProtection="1">
      <alignment horizontal="center" vertical="center"/>
      <protection locked="0" hidden="1"/>
    </xf>
    <xf numFmtId="192" fontId="7" fillId="7" borderId="45" xfId="0" applyNumberFormat="1" applyFont="1" applyFill="1" applyBorder="1" applyAlignment="1" applyProtection="1">
      <alignment horizontal="center" vertical="center"/>
      <protection locked="0" hidden="1"/>
    </xf>
    <xf numFmtId="192" fontId="7" fillId="7" borderId="32" xfId="0" applyNumberFormat="1" applyFont="1" applyFill="1" applyBorder="1" applyAlignment="1" applyProtection="1">
      <alignment horizontal="center" vertical="center"/>
      <protection locked="0" hidden="1"/>
    </xf>
    <xf numFmtId="171" fontId="7" fillId="9" borderId="42" xfId="0" applyNumberFormat="1" applyFont="1" applyFill="1" applyBorder="1" applyAlignment="1" applyProtection="1">
      <alignment horizontal="center" vertical="center"/>
      <protection hidden="1"/>
    </xf>
    <xf numFmtId="171" fontId="7" fillId="9" borderId="3" xfId="0" applyNumberFormat="1" applyFont="1" applyFill="1" applyBorder="1" applyAlignment="1" applyProtection="1">
      <alignment horizontal="center" vertical="center"/>
      <protection hidden="1"/>
    </xf>
    <xf numFmtId="171" fontId="7" fillId="9" borderId="13" xfId="0" applyNumberFormat="1" applyFont="1" applyFill="1" applyBorder="1" applyAlignment="1" applyProtection="1">
      <alignment horizontal="center" vertical="center"/>
      <protection hidden="1"/>
    </xf>
    <xf numFmtId="171" fontId="7" fillId="6" borderId="70" xfId="0" applyNumberFormat="1" applyFont="1" applyFill="1" applyBorder="1" applyAlignment="1" applyProtection="1">
      <alignment horizontal="center" vertical="center"/>
      <protection hidden="1"/>
    </xf>
    <xf numFmtId="171" fontId="7" fillId="6" borderId="71" xfId="0" applyNumberFormat="1" applyFont="1" applyFill="1" applyBorder="1" applyAlignment="1" applyProtection="1">
      <alignment horizontal="center" vertical="center"/>
      <protection hidden="1"/>
    </xf>
    <xf numFmtId="171" fontId="7" fillId="9" borderId="18" xfId="0" applyNumberFormat="1" applyFont="1" applyFill="1" applyBorder="1" applyAlignment="1" applyProtection="1">
      <alignment horizontal="center" vertical="center"/>
      <protection hidden="1"/>
    </xf>
    <xf numFmtId="171" fontId="7" fillId="9" borderId="20" xfId="0" applyNumberFormat="1" applyFont="1" applyFill="1" applyBorder="1" applyAlignment="1" applyProtection="1">
      <alignment horizontal="center" vertical="center"/>
      <protection hidden="1"/>
    </xf>
    <xf numFmtId="171" fontId="7" fillId="9" borderId="44" xfId="0" applyNumberFormat="1" applyFont="1" applyFill="1" applyBorder="1" applyAlignment="1" applyProtection="1">
      <alignment horizontal="center" vertical="center"/>
      <protection hidden="1"/>
    </xf>
    <xf numFmtId="2" fontId="7" fillId="6" borderId="9"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wrapText="1"/>
      <protection hidden="1"/>
    </xf>
    <xf numFmtId="193" fontId="7" fillId="7" borderId="41" xfId="0" applyNumberFormat="1" applyFont="1" applyFill="1" applyBorder="1" applyAlignment="1" applyProtection="1">
      <alignment horizontal="center" vertical="center"/>
      <protection locked="0" hidden="1"/>
    </xf>
    <xf numFmtId="2" fontId="7" fillId="6" borderId="58" xfId="0" applyNumberFormat="1" applyFont="1" applyFill="1" applyBorder="1" applyAlignment="1" applyProtection="1">
      <alignment horizontal="center" vertical="center" wrapText="1"/>
      <protection hidden="1"/>
    </xf>
    <xf numFmtId="2" fontId="7" fillId="6" borderId="51" xfId="0" applyNumberFormat="1" applyFont="1" applyFill="1" applyBorder="1" applyAlignment="1" applyProtection="1">
      <alignment horizontal="center" vertical="center" wrapText="1"/>
      <protection hidden="1"/>
    </xf>
    <xf numFmtId="168" fontId="29" fillId="19" borderId="5" xfId="0" applyNumberFormat="1" applyFont="1" applyFill="1" applyBorder="1" applyAlignment="1" applyProtection="1">
      <alignment horizontal="center" vertical="center" wrapText="1"/>
      <protection hidden="1"/>
    </xf>
    <xf numFmtId="168" fontId="29" fillId="19" borderId="1" xfId="0" applyNumberFormat="1" applyFont="1" applyFill="1" applyBorder="1" applyAlignment="1" applyProtection="1">
      <alignment horizontal="center" vertical="center" wrapText="1"/>
      <protection hidden="1"/>
    </xf>
    <xf numFmtId="168" fontId="29" fillId="19" borderId="8" xfId="0" applyNumberFormat="1" applyFont="1" applyFill="1" applyBorder="1" applyAlignment="1" applyProtection="1">
      <alignment horizontal="center" vertical="center" wrapText="1"/>
      <protection hidden="1"/>
    </xf>
    <xf numFmtId="3" fontId="29" fillId="19" borderId="4" xfId="0" applyNumberFormat="1" applyFont="1" applyFill="1" applyBorder="1" applyAlignment="1" applyProtection="1">
      <alignment horizontal="center" vertical="center"/>
      <protection hidden="1"/>
    </xf>
    <xf numFmtId="3" fontId="29" fillId="19" borderId="5" xfId="0" applyNumberFormat="1" applyFont="1" applyFill="1" applyBorder="1" applyAlignment="1" applyProtection="1">
      <alignment horizontal="center" vertical="center" wrapText="1"/>
      <protection hidden="1"/>
    </xf>
    <xf numFmtId="169" fontId="29" fillId="19" borderId="39" xfId="0" applyNumberFormat="1" applyFont="1" applyFill="1" applyBorder="1" applyAlignment="1" applyProtection="1">
      <alignment horizontal="center" vertical="center"/>
      <protection hidden="1"/>
    </xf>
    <xf numFmtId="3" fontId="29" fillId="19" borderId="41" xfId="0" applyNumberFormat="1" applyFont="1" applyFill="1" applyBorder="1" applyAlignment="1" applyProtection="1">
      <alignment horizontal="center" vertical="center"/>
      <protection hidden="1"/>
    </xf>
    <xf numFmtId="3" fontId="29" fillId="19" borderId="1" xfId="0" applyNumberFormat="1" applyFont="1" applyFill="1" applyBorder="1" applyAlignment="1" applyProtection="1">
      <alignment horizontal="center" vertical="center" wrapText="1"/>
      <protection hidden="1"/>
    </xf>
    <xf numFmtId="171" fontId="29" fillId="19" borderId="1" xfId="0" applyNumberFormat="1" applyFont="1" applyFill="1" applyBorder="1" applyAlignment="1" applyProtection="1">
      <alignment horizontal="center" vertical="center"/>
      <protection hidden="1"/>
    </xf>
    <xf numFmtId="2" fontId="29" fillId="19" borderId="1" xfId="0" applyNumberFormat="1" applyFont="1" applyFill="1" applyBorder="1" applyAlignment="1" applyProtection="1">
      <alignment horizontal="center" vertical="center"/>
      <protection hidden="1"/>
    </xf>
    <xf numFmtId="169" fontId="29" fillId="19" borderId="42" xfId="0" applyNumberFormat="1" applyFont="1" applyFill="1" applyBorder="1" applyAlignment="1" applyProtection="1">
      <alignment horizontal="center" vertical="center"/>
      <protection hidden="1"/>
    </xf>
    <xf numFmtId="49" fontId="29" fillId="19" borderId="1" xfId="0" applyNumberFormat="1" applyFont="1" applyFill="1" applyBorder="1" applyAlignment="1" applyProtection="1">
      <alignment horizontal="center" vertical="center" wrapText="1"/>
      <protection hidden="1"/>
    </xf>
    <xf numFmtId="3" fontId="29" fillId="19" borderId="7" xfId="0" applyNumberFormat="1" applyFont="1" applyFill="1" applyBorder="1" applyAlignment="1" applyProtection="1">
      <alignment horizontal="center" vertical="center"/>
      <protection hidden="1"/>
    </xf>
    <xf numFmtId="0" fontId="29" fillId="19" borderId="8" xfId="0" applyFont="1" applyFill="1" applyBorder="1" applyAlignment="1" applyProtection="1">
      <alignment horizontal="center" vertical="center"/>
      <protection hidden="1"/>
    </xf>
    <xf numFmtId="3" fontId="29" fillId="19" borderId="8" xfId="0" applyNumberFormat="1" applyFont="1" applyFill="1" applyBorder="1" applyAlignment="1" applyProtection="1">
      <alignment horizontal="center" vertical="center"/>
      <protection hidden="1"/>
    </xf>
    <xf numFmtId="0" fontId="29" fillId="19" borderId="8" xfId="0" applyFont="1" applyFill="1" applyBorder="1" applyAlignment="1" applyProtection="1">
      <alignment horizontal="center" vertical="center" wrapText="1"/>
      <protection hidden="1"/>
    </xf>
    <xf numFmtId="169" fontId="29" fillId="19" borderId="8" xfId="0" applyNumberFormat="1" applyFont="1" applyFill="1" applyBorder="1" applyAlignment="1" applyProtection="1">
      <alignment horizontal="center" vertical="center"/>
      <protection hidden="1"/>
    </xf>
    <xf numFmtId="169" fontId="29" fillId="19" borderId="12" xfId="0" applyNumberFormat="1" applyFont="1" applyFill="1" applyBorder="1" applyAlignment="1" applyProtection="1">
      <alignment horizontal="center" vertical="center"/>
      <protection hidden="1"/>
    </xf>
    <xf numFmtId="187" fontId="7" fillId="2" borderId="0" xfId="0" applyNumberFormat="1" applyFont="1" applyFill="1" applyBorder="1" applyAlignment="1" applyProtection="1">
      <alignment horizontal="center"/>
      <protection hidden="1"/>
    </xf>
    <xf numFmtId="14" fontId="28" fillId="15" borderId="1" xfId="0" applyNumberFormat="1" applyFont="1" applyFill="1" applyBorder="1" applyAlignment="1" applyProtection="1">
      <alignment horizontal="center" vertical="center" wrapText="1"/>
      <protection locked="0"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protection hidden="1"/>
    </xf>
    <xf numFmtId="164" fontId="28" fillId="19" borderId="5" xfId="0" applyNumberFormat="1" applyFont="1" applyFill="1" applyBorder="1" applyAlignment="1" applyProtection="1">
      <alignment horizontal="center" vertical="center"/>
      <protection hidden="1"/>
    </xf>
    <xf numFmtId="171" fontId="29" fillId="19" borderId="1" xfId="0" applyNumberFormat="1" applyFont="1" applyFill="1" applyBorder="1" applyAlignment="1" applyProtection="1">
      <alignment horizontal="center" vertical="center" wrapText="1"/>
      <protection hidden="1"/>
    </xf>
    <xf numFmtId="177" fontId="0" fillId="19" borderId="1" xfId="0" applyNumberFormat="1" applyFill="1" applyBorder="1" applyAlignment="1" applyProtection="1">
      <alignment horizontal="center" vertical="center" wrapText="1"/>
      <protection hidden="1"/>
    </xf>
    <xf numFmtId="4" fontId="0" fillId="19" borderId="1" xfId="0" applyNumberFormat="1" applyFill="1" applyBorder="1" applyAlignment="1" applyProtection="1">
      <alignment horizontal="center" vertical="center" wrapText="1"/>
      <protection hidden="1"/>
    </xf>
    <xf numFmtId="0" fontId="29" fillId="19" borderId="20" xfId="0" applyFont="1" applyFill="1" applyBorder="1" applyAlignment="1" applyProtection="1">
      <alignment horizontal="center" vertical="center" wrapText="1"/>
      <protection hidden="1"/>
    </xf>
    <xf numFmtId="0" fontId="0" fillId="19" borderId="20" xfId="0" applyFill="1" applyBorder="1" applyAlignment="1" applyProtection="1">
      <alignment horizontal="center" vertical="center" wrapText="1"/>
      <protection hidden="1"/>
    </xf>
    <xf numFmtId="3" fontId="28" fillId="20" borderId="4" xfId="0" applyNumberFormat="1" applyFont="1" applyFill="1" applyBorder="1" applyAlignment="1" applyProtection="1">
      <alignment horizontal="center" vertical="center" wrapText="1"/>
      <protection hidden="1"/>
    </xf>
    <xf numFmtId="9" fontId="29" fillId="6" borderId="42" xfId="0" applyNumberFormat="1" applyFont="1" applyFill="1" applyBorder="1" applyAlignment="1" applyProtection="1">
      <alignment horizontal="center" vertical="center"/>
      <protection hidden="1"/>
    </xf>
    <xf numFmtId="2" fontId="26" fillId="0" borderId="0" xfId="0" applyNumberFormat="1" applyFont="1" applyAlignment="1" applyProtection="1">
      <alignment horizontal="left" vertical="center"/>
      <protection hidden="1"/>
    </xf>
    <xf numFmtId="0" fontId="29" fillId="0" borderId="0" xfId="0" applyFont="1" applyAlignment="1" applyProtection="1">
      <alignment horizontal="left" vertical="center" wrapText="1"/>
      <protection hidden="1"/>
    </xf>
    <xf numFmtId="0" fontId="28" fillId="2" borderId="0" xfId="0" applyFont="1" applyFill="1" applyBorder="1" applyAlignment="1" applyProtection="1">
      <alignment vertical="justify" wrapText="1" readingOrder="1"/>
      <protection hidden="1"/>
    </xf>
    <xf numFmtId="168" fontId="29" fillId="2" borderId="0" xfId="0" applyNumberFormat="1" applyFont="1" applyFill="1" applyBorder="1" applyAlignment="1" applyProtection="1">
      <alignment horizontal="left" vertical="center" wrapText="1"/>
      <protection hidden="1"/>
    </xf>
    <xf numFmtId="0" fontId="29" fillId="2" borderId="0" xfId="0" applyFont="1" applyFill="1" applyBorder="1" applyAlignment="1" applyProtection="1">
      <alignment vertical="center" wrapText="1"/>
      <protection hidden="1"/>
    </xf>
    <xf numFmtId="190" fontId="29" fillId="2" borderId="0" xfId="0" applyNumberFormat="1" applyFont="1" applyFill="1" applyBorder="1" applyAlignment="1" applyProtection="1">
      <alignment horizontal="left" vertical="center" wrapText="1"/>
      <protection hidden="1"/>
    </xf>
    <xf numFmtId="189" fontId="29" fillId="2" borderId="0" xfId="0" applyNumberFormat="1" applyFont="1" applyFill="1" applyBorder="1" applyAlignment="1" applyProtection="1">
      <alignment horizontal="left" vertical="center" wrapText="1"/>
      <protection hidden="1"/>
    </xf>
    <xf numFmtId="174" fontId="29" fillId="2" borderId="0" xfId="0" applyNumberFormat="1" applyFont="1" applyFill="1" applyBorder="1" applyAlignment="1" applyProtection="1">
      <alignment horizontal="left" vertical="center" wrapText="1"/>
      <protection hidden="1"/>
    </xf>
    <xf numFmtId="188" fontId="29" fillId="2" borderId="0" xfId="0" applyNumberFormat="1" applyFont="1" applyFill="1" applyBorder="1" applyAlignment="1" applyProtection="1">
      <alignment horizontal="left" vertical="center" wrapText="1"/>
      <protection hidden="1"/>
    </xf>
    <xf numFmtId="14" fontId="29" fillId="0" borderId="0" xfId="0" applyNumberFormat="1" applyFont="1" applyAlignment="1" applyProtection="1">
      <alignment horizontal="center" vertical="center" wrapText="1"/>
      <protection hidden="1"/>
    </xf>
    <xf numFmtId="0" fontId="26" fillId="0" borderId="0" xfId="0" applyFont="1" applyBorder="1" applyAlignment="1" applyProtection="1">
      <alignment horizontal="left" vertical="center" wrapText="1"/>
      <protection hidden="1"/>
    </xf>
    <xf numFmtId="0" fontId="29" fillId="0" borderId="0" xfId="0" applyFont="1" applyBorder="1" applyAlignment="1" applyProtection="1">
      <alignment horizontal="center" vertical="center" wrapText="1"/>
      <protection hidden="1"/>
    </xf>
    <xf numFmtId="0" fontId="16" fillId="0" borderId="0" xfId="0" applyFont="1" applyBorder="1" applyAlignment="1" applyProtection="1">
      <alignment horizontal="left" vertical="center" wrapText="1"/>
      <protection hidden="1"/>
    </xf>
    <xf numFmtId="0" fontId="29" fillId="0" borderId="0" xfId="0" applyFont="1" applyBorder="1" applyAlignment="1" applyProtection="1">
      <alignment vertical="center" wrapText="1"/>
      <protection hidden="1"/>
    </xf>
    <xf numFmtId="0" fontId="29" fillId="0" borderId="0" xfId="0" applyFont="1" applyFill="1" applyAlignment="1" applyProtection="1">
      <alignment horizontal="left" vertical="center" wrapText="1"/>
      <protection hidden="1"/>
    </xf>
    <xf numFmtId="187" fontId="8" fillId="0" borderId="16" xfId="0" applyNumberFormat="1" applyFont="1" applyBorder="1" applyAlignment="1" applyProtection="1">
      <alignment horizontal="center" vertical="center" wrapText="1"/>
      <protection hidden="1"/>
    </xf>
    <xf numFmtId="2" fontId="26" fillId="0" borderId="23" xfId="0" applyNumberFormat="1" applyFont="1" applyBorder="1" applyAlignment="1" applyProtection="1">
      <alignment horizontal="center" vertical="center" wrapText="1"/>
      <protection hidden="1"/>
    </xf>
    <xf numFmtId="0" fontId="26" fillId="0" borderId="23" xfId="0" applyFont="1" applyBorder="1" applyAlignment="1" applyProtection="1">
      <alignment horizontal="center" vertical="center" wrapText="1"/>
      <protection hidden="1"/>
    </xf>
    <xf numFmtId="186" fontId="29" fillId="0" borderId="5" xfId="0" applyNumberFormat="1" applyFont="1" applyBorder="1" applyAlignment="1" applyProtection="1">
      <alignment horizontal="center" vertical="center" wrapText="1"/>
      <protection hidden="1"/>
    </xf>
    <xf numFmtId="171" fontId="29" fillId="0" borderId="39" xfId="0" applyNumberFormat="1" applyFont="1" applyBorder="1" applyAlignment="1" applyProtection="1">
      <alignment horizontal="center" vertical="center" wrapText="1"/>
      <protection hidden="1"/>
    </xf>
    <xf numFmtId="186" fontId="29" fillId="0" borderId="20" xfId="0" applyNumberFormat="1" applyFont="1" applyBorder="1" applyAlignment="1" applyProtection="1">
      <alignment horizontal="center" vertical="center" wrapText="1"/>
      <protection hidden="1"/>
    </xf>
    <xf numFmtId="171" fontId="29" fillId="0" borderId="42" xfId="0" applyNumberFormat="1" applyFont="1" applyBorder="1" applyAlignment="1" applyProtection="1">
      <alignment horizontal="center" vertical="center" wrapText="1"/>
      <protection hidden="1"/>
    </xf>
    <xf numFmtId="186" fontId="29" fillId="0" borderId="1" xfId="0" applyNumberFormat="1" applyFont="1" applyBorder="1" applyAlignment="1" applyProtection="1">
      <alignment horizontal="center" vertical="center" wrapText="1"/>
      <protection hidden="1"/>
    </xf>
    <xf numFmtId="171" fontId="29" fillId="0" borderId="46" xfId="0" applyNumberFormat="1" applyFont="1" applyBorder="1" applyAlignment="1" applyProtection="1">
      <alignment horizontal="center" vertical="center" wrapText="1"/>
      <protection hidden="1"/>
    </xf>
    <xf numFmtId="171" fontId="26" fillId="2" borderId="11" xfId="0" applyNumberFormat="1" applyFont="1" applyFill="1" applyBorder="1" applyAlignment="1" applyProtection="1">
      <alignment horizontal="center" vertical="center" wrapText="1"/>
      <protection hidden="1"/>
    </xf>
    <xf numFmtId="171" fontId="29" fillId="0" borderId="0" xfId="0" applyNumberFormat="1" applyFont="1" applyBorder="1" applyAlignment="1" applyProtection="1">
      <alignment horizontal="center" vertical="center" wrapText="1"/>
      <protection hidden="1"/>
    </xf>
    <xf numFmtId="2" fontId="29" fillId="0" borderId="0" xfId="0" applyNumberFormat="1" applyFont="1" applyBorder="1" applyAlignment="1" applyProtection="1">
      <alignment horizontal="center" vertical="center" wrapText="1"/>
      <protection hidden="1"/>
    </xf>
    <xf numFmtId="0" fontId="29" fillId="0" borderId="0" xfId="0" applyFont="1" applyAlignment="1" applyProtection="1">
      <alignment horizontal="left" vertical="justify" wrapText="1"/>
      <protection hidden="1"/>
    </xf>
    <xf numFmtId="1" fontId="29" fillId="0" borderId="0" xfId="0" applyNumberFormat="1" applyFont="1" applyBorder="1" applyAlignment="1" applyProtection="1">
      <alignment horizontal="center" vertical="center" wrapText="1"/>
      <protection hidden="1"/>
    </xf>
    <xf numFmtId="2" fontId="8" fillId="0" borderId="0" xfId="0" applyNumberFormat="1" applyFont="1" applyBorder="1" applyAlignment="1" applyProtection="1">
      <alignment vertical="center" wrapText="1"/>
      <protection hidden="1"/>
    </xf>
    <xf numFmtId="2" fontId="26" fillId="0" borderId="0" xfId="0" applyNumberFormat="1" applyFont="1" applyAlignment="1" applyProtection="1">
      <alignment horizontal="center" vertical="center"/>
      <protection hidden="1"/>
    </xf>
    <xf numFmtId="0" fontId="26" fillId="0" borderId="0" xfId="0" applyFont="1" applyBorder="1" applyAlignment="1" applyProtection="1">
      <alignment horizontal="center" vertical="center" wrapText="1"/>
      <protection hidden="1"/>
    </xf>
    <xf numFmtId="0" fontId="35" fillId="0" borderId="0" xfId="0" applyFont="1" applyFill="1" applyAlignment="1">
      <alignment vertical="center" wrapText="1"/>
    </xf>
    <xf numFmtId="1" fontId="29" fillId="0" borderId="0" xfId="0" applyNumberFormat="1" applyFont="1" applyBorder="1" applyAlignment="1" applyProtection="1">
      <alignment horizontal="left" vertical="center" wrapText="1"/>
      <protection hidden="1"/>
    </xf>
    <xf numFmtId="0" fontId="29" fillId="0" borderId="0" xfId="0" applyFont="1" applyAlignment="1" applyProtection="1">
      <alignment vertical="justify" wrapText="1"/>
      <protection hidden="1"/>
    </xf>
    <xf numFmtId="0" fontId="26" fillId="0" borderId="0" xfId="0" applyFont="1" applyAlignment="1" applyProtection="1">
      <protection hidden="1"/>
    </xf>
    <xf numFmtId="0" fontId="29" fillId="0" borderId="0" xfId="0" applyFont="1" applyAlignment="1" applyProtection="1">
      <alignment horizontal="justify" vertical="center" wrapText="1"/>
      <protection locked="0" hidden="1"/>
    </xf>
    <xf numFmtId="0" fontId="50" fillId="2" borderId="36" xfId="0" applyFont="1" applyFill="1" applyBorder="1" applyAlignment="1" applyProtection="1">
      <alignment horizontal="justify" vertical="center" wrapText="1"/>
      <protection hidden="1"/>
    </xf>
    <xf numFmtId="11" fontId="7" fillId="0" borderId="0" xfId="0" applyNumberFormat="1" applyFont="1" applyProtection="1">
      <protection hidden="1"/>
    </xf>
    <xf numFmtId="2" fontId="7" fillId="9" borderId="5" xfId="0" applyNumberFormat="1"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wrapText="1"/>
      <protection hidden="1"/>
    </xf>
    <xf numFmtId="2" fontId="7" fillId="9" borderId="67" xfId="0" applyNumberFormat="1" applyFont="1" applyFill="1" applyBorder="1" applyAlignment="1" applyProtection="1">
      <alignment horizontal="center" vertical="center"/>
      <protection hidden="1"/>
    </xf>
    <xf numFmtId="9" fontId="8" fillId="9" borderId="35" xfId="1" applyNumberFormat="1" applyFont="1" applyFill="1" applyBorder="1" applyAlignment="1" applyProtection="1">
      <alignment horizontal="center" vertical="center"/>
      <protection hidden="1"/>
    </xf>
    <xf numFmtId="2" fontId="9" fillId="9" borderId="57" xfId="0" applyNumberFormat="1" applyFont="1" applyFill="1" applyBorder="1" applyAlignment="1" applyProtection="1">
      <alignment horizontal="center" vertical="center"/>
      <protection hidden="1"/>
    </xf>
    <xf numFmtId="2" fontId="9" fillId="9" borderId="2" xfId="0" applyNumberFormat="1" applyFont="1" applyFill="1" applyBorder="1" applyAlignment="1" applyProtection="1">
      <alignment horizontal="center" vertical="center"/>
      <protection hidden="1"/>
    </xf>
    <xf numFmtId="0" fontId="23" fillId="6" borderId="33" xfId="0" applyFont="1" applyFill="1" applyBorder="1" applyAlignment="1" applyProtection="1">
      <alignment horizontal="center" vertical="center" wrapText="1"/>
      <protection hidden="1"/>
    </xf>
    <xf numFmtId="2" fontId="7" fillId="0" borderId="0" xfId="0" applyNumberFormat="1" applyFont="1" applyFill="1" applyAlignment="1" applyProtection="1">
      <alignment horizontal="center" vertical="center"/>
      <protection hidden="1"/>
    </xf>
    <xf numFmtId="0" fontId="29" fillId="0" borderId="1" xfId="0" applyFont="1" applyFill="1" applyBorder="1" applyAlignment="1" applyProtection="1">
      <alignment horizontal="center" vertical="center"/>
      <protection hidden="1"/>
    </xf>
    <xf numFmtId="0" fontId="29" fillId="15" borderId="32" xfId="0" applyFont="1" applyFill="1" applyBorder="1" applyAlignment="1" applyProtection="1">
      <alignment horizontal="center" vertical="center"/>
      <protection hidden="1"/>
    </xf>
    <xf numFmtId="181" fontId="29" fillId="15" borderId="32" xfId="0" applyNumberFormat="1" applyFont="1" applyFill="1" applyBorder="1" applyAlignment="1" applyProtection="1">
      <alignment horizontal="center" vertical="center"/>
      <protection hidden="1"/>
    </xf>
    <xf numFmtId="169" fontId="29" fillId="15" borderId="32" xfId="0" applyNumberFormat="1" applyFont="1" applyFill="1" applyBorder="1" applyAlignment="1" applyProtection="1">
      <alignment horizontal="center" vertical="center"/>
      <protection hidden="1"/>
    </xf>
    <xf numFmtId="0" fontId="29" fillId="15" borderId="45" xfId="0" applyFont="1" applyFill="1" applyBorder="1" applyAlignment="1" applyProtection="1">
      <alignment horizontal="center" vertical="center" wrapText="1"/>
      <protection hidden="1"/>
    </xf>
    <xf numFmtId="168" fontId="29" fillId="15" borderId="32" xfId="0" applyNumberFormat="1" applyFont="1" applyFill="1" applyBorder="1" applyAlignment="1" applyProtection="1">
      <alignment horizontal="center" vertical="center"/>
      <protection hidden="1"/>
    </xf>
    <xf numFmtId="0" fontId="29" fillId="15" borderId="32" xfId="4" applyFont="1" applyFill="1" applyBorder="1" applyProtection="1">
      <alignment horizontal="center" vertical="center"/>
      <protection hidden="1"/>
    </xf>
    <xf numFmtId="0" fontId="29" fillId="15" borderId="32" xfId="0" applyFont="1" applyFill="1" applyBorder="1" applyProtection="1">
      <protection hidden="1"/>
    </xf>
    <xf numFmtId="171" fontId="29" fillId="15" borderId="32" xfId="0" applyNumberFormat="1" applyFont="1" applyFill="1" applyBorder="1" applyAlignment="1" applyProtection="1">
      <alignment horizontal="center" vertical="center"/>
      <protection hidden="1"/>
    </xf>
    <xf numFmtId="166" fontId="29" fillId="19" borderId="20" xfId="0" applyNumberFormat="1" applyFont="1" applyFill="1" applyBorder="1" applyAlignment="1" applyProtection="1">
      <alignment horizontal="center" vertical="center"/>
      <protection hidden="1"/>
    </xf>
    <xf numFmtId="166" fontId="29" fillId="19" borderId="26" xfId="0" applyNumberFormat="1" applyFont="1" applyFill="1" applyBorder="1" applyAlignment="1" applyProtection="1">
      <alignment horizontal="center" vertical="center"/>
      <protection hidden="1"/>
    </xf>
    <xf numFmtId="166" fontId="29" fillId="19" borderId="5" xfId="0" applyNumberFormat="1" applyFont="1" applyFill="1" applyBorder="1" applyAlignment="1" applyProtection="1">
      <alignment horizontal="center" vertical="center"/>
      <protection hidden="1"/>
    </xf>
    <xf numFmtId="0" fontId="29" fillId="0" borderId="20" xfId="0" applyFont="1" applyFill="1" applyBorder="1" applyAlignment="1" applyProtection="1">
      <alignment horizontal="center" vertical="center"/>
      <protection hidden="1"/>
    </xf>
    <xf numFmtId="164" fontId="29" fillId="19" borderId="5" xfId="0" applyNumberFormat="1" applyFont="1" applyFill="1" applyBorder="1" applyAlignment="1" applyProtection="1">
      <alignment horizontal="center" vertical="center"/>
      <protection hidden="1"/>
    </xf>
    <xf numFmtId="0" fontId="29" fillId="0" borderId="32" xfId="0" applyFont="1" applyFill="1" applyBorder="1" applyAlignment="1" applyProtection="1">
      <alignment horizontal="center" vertical="center"/>
      <protection hidden="1"/>
    </xf>
    <xf numFmtId="168" fontId="29" fillId="0" borderId="1" xfId="0" applyNumberFormat="1" applyFont="1" applyFill="1" applyBorder="1" applyAlignment="1" applyProtection="1">
      <alignment horizontal="center" vertical="center"/>
      <protection hidden="1"/>
    </xf>
    <xf numFmtId="169" fontId="29" fillId="0" borderId="1" xfId="0" applyNumberFormat="1" applyFont="1" applyFill="1" applyBorder="1" applyAlignment="1" applyProtection="1">
      <alignment horizontal="center" vertical="center"/>
      <protection hidden="1"/>
    </xf>
    <xf numFmtId="168" fontId="29" fillId="0" borderId="20" xfId="0" applyNumberFormat="1" applyFont="1" applyFill="1" applyBorder="1" applyAlignment="1" applyProtection="1">
      <alignment horizontal="center" vertical="center"/>
      <protection hidden="1"/>
    </xf>
    <xf numFmtId="181" fontId="29" fillId="0" borderId="32" xfId="0" applyNumberFormat="1" applyFont="1" applyFill="1" applyBorder="1" applyAlignment="1" applyProtection="1">
      <alignment horizontal="center" vertical="center"/>
      <protection hidden="1"/>
    </xf>
    <xf numFmtId="0" fontId="29" fillId="0" borderId="32" xfId="0" applyFont="1" applyFill="1" applyBorder="1" applyAlignment="1" applyProtection="1">
      <alignment horizontal="center"/>
      <protection hidden="1"/>
    </xf>
    <xf numFmtId="169" fontId="29" fillId="0" borderId="32" xfId="0" applyNumberFormat="1" applyFont="1" applyFill="1" applyBorder="1" applyAlignment="1" applyProtection="1">
      <alignment horizontal="center" vertical="center"/>
      <protection hidden="1"/>
    </xf>
    <xf numFmtId="166" fontId="29" fillId="19" borderId="1" xfId="0" applyNumberFormat="1" applyFont="1" applyFill="1" applyBorder="1" applyAlignment="1" applyProtection="1">
      <alignment horizontal="center" vertical="center"/>
      <protection hidden="1"/>
    </xf>
    <xf numFmtId="164" fontId="29" fillId="19" borderId="1" xfId="0" applyNumberFormat="1" applyFont="1" applyFill="1" applyBorder="1" applyAlignment="1" applyProtection="1">
      <alignment horizontal="center" vertical="center"/>
      <protection hidden="1"/>
    </xf>
    <xf numFmtId="166" fontId="29" fillId="0" borderId="1" xfId="0" applyNumberFormat="1" applyFont="1" applyFill="1" applyBorder="1" applyAlignment="1" applyProtection="1">
      <alignment horizontal="center" vertical="center"/>
      <protection hidden="1"/>
    </xf>
    <xf numFmtId="166" fontId="29" fillId="19" borderId="8" xfId="0" applyNumberFormat="1" applyFont="1" applyFill="1" applyBorder="1" applyAlignment="1" applyProtection="1">
      <alignment horizontal="center" vertical="center"/>
      <protection hidden="1"/>
    </xf>
    <xf numFmtId="180" fontId="29" fillId="15" borderId="8" xfId="0" applyNumberFormat="1" applyFont="1" applyFill="1" applyBorder="1" applyAlignment="1" applyProtection="1">
      <alignment horizontal="center" vertical="center"/>
      <protection hidden="1"/>
    </xf>
    <xf numFmtId="166" fontId="29" fillId="0" borderId="32" xfId="0" applyNumberFormat="1" applyFont="1" applyFill="1" applyBorder="1" applyAlignment="1" applyProtection="1">
      <alignment horizontal="center" vertical="center"/>
      <protection hidden="1"/>
    </xf>
    <xf numFmtId="0" fontId="29" fillId="19" borderId="32" xfId="0" applyFont="1" applyFill="1" applyBorder="1" applyAlignment="1" applyProtection="1">
      <alignment horizontal="center" vertical="center"/>
      <protection hidden="1"/>
    </xf>
    <xf numFmtId="181" fontId="29" fillId="23" borderId="5" xfId="0" applyNumberFormat="1" applyFont="1" applyFill="1" applyBorder="1" applyAlignment="1" applyProtection="1">
      <alignment horizontal="center" vertical="center"/>
      <protection hidden="1"/>
    </xf>
    <xf numFmtId="0" fontId="29" fillId="23" borderId="4" xfId="0" applyFont="1" applyFill="1" applyBorder="1" applyAlignment="1" applyProtection="1">
      <alignment horizontal="center" vertical="center" wrapText="1"/>
      <protection hidden="1"/>
    </xf>
    <xf numFmtId="0" fontId="29" fillId="23" borderId="5" xfId="0" applyFont="1" applyFill="1" applyBorder="1" applyAlignment="1" applyProtection="1">
      <alignment horizontal="center" vertical="center"/>
      <protection hidden="1"/>
    </xf>
    <xf numFmtId="168" fontId="29" fillId="23" borderId="5" xfId="0" applyNumberFormat="1" applyFont="1" applyFill="1" applyBorder="1" applyAlignment="1" applyProtection="1">
      <alignment horizontal="center" vertical="center"/>
      <protection hidden="1"/>
    </xf>
    <xf numFmtId="0" fontId="29" fillId="23" borderId="5" xfId="4" applyFont="1" applyFill="1" applyBorder="1" applyProtection="1">
      <alignment horizontal="center" vertical="center"/>
      <protection hidden="1"/>
    </xf>
    <xf numFmtId="164" fontId="29" fillId="23" borderId="5" xfId="0" applyNumberFormat="1" applyFont="1" applyFill="1" applyBorder="1" applyAlignment="1" applyProtection="1">
      <alignment horizontal="center" vertical="center"/>
      <protection hidden="1"/>
    </xf>
    <xf numFmtId="169" fontId="29" fillId="23" borderId="5" xfId="0" applyNumberFormat="1" applyFont="1" applyFill="1" applyBorder="1" applyAlignment="1" applyProtection="1">
      <alignment horizontal="center" vertical="center"/>
      <protection hidden="1"/>
    </xf>
    <xf numFmtId="2" fontId="13" fillId="6" borderId="61" xfId="0" applyNumberFormat="1" applyFont="1" applyFill="1" applyBorder="1" applyAlignment="1" applyProtection="1">
      <alignment vertical="center" wrapText="1"/>
      <protection hidden="1"/>
    </xf>
    <xf numFmtId="2" fontId="13" fillId="6" borderId="72" xfId="0" applyNumberFormat="1" applyFont="1" applyFill="1" applyBorder="1" applyAlignment="1" applyProtection="1">
      <alignment vertical="center" wrapText="1"/>
      <protection hidden="1"/>
    </xf>
    <xf numFmtId="2" fontId="13" fillId="6" borderId="27" xfId="0" applyNumberFormat="1" applyFont="1" applyFill="1" applyBorder="1" applyAlignment="1" applyProtection="1">
      <alignment vertical="center" wrapText="1"/>
      <protection hidden="1"/>
    </xf>
    <xf numFmtId="2" fontId="13" fillId="6" borderId="65" xfId="0" applyNumberFormat="1" applyFont="1" applyFill="1" applyBorder="1" applyAlignment="1" applyProtection="1">
      <alignment vertical="center" wrapText="1"/>
      <protection hidden="1"/>
    </xf>
    <xf numFmtId="2" fontId="13" fillId="6" borderId="76" xfId="0" applyNumberFormat="1" applyFont="1" applyFill="1" applyBorder="1" applyAlignment="1" applyProtection="1">
      <alignment vertical="center" wrapText="1"/>
      <protection hidden="1"/>
    </xf>
    <xf numFmtId="2" fontId="13" fillId="6" borderId="77" xfId="0" applyNumberFormat="1" applyFont="1" applyFill="1" applyBorder="1" applyAlignment="1" applyProtection="1">
      <alignment vertical="center" wrapText="1"/>
      <protection hidden="1"/>
    </xf>
    <xf numFmtId="171" fontId="7" fillId="0" borderId="0" xfId="0" applyNumberFormat="1" applyFont="1" applyProtection="1">
      <protection hidden="1"/>
    </xf>
    <xf numFmtId="2" fontId="17" fillId="6" borderId="43" xfId="0" applyNumberFormat="1" applyFont="1" applyFill="1" applyBorder="1" applyAlignment="1" applyProtection="1">
      <alignment horizontal="center" vertical="center" wrapText="1"/>
      <protection hidden="1"/>
    </xf>
    <xf numFmtId="2" fontId="23" fillId="6" borderId="20" xfId="0" applyNumberFormat="1" applyFont="1" applyFill="1" applyBorder="1" applyAlignment="1" applyProtection="1">
      <alignment horizontal="center" vertical="center" wrapText="1"/>
      <protection hidden="1"/>
    </xf>
    <xf numFmtId="2" fontId="19" fillId="3" borderId="69" xfId="0" applyNumberFormat="1" applyFont="1" applyFill="1" applyBorder="1" applyAlignment="1" applyProtection="1">
      <alignment horizontal="center" vertical="top"/>
      <protection hidden="1"/>
    </xf>
    <xf numFmtId="2" fontId="17" fillId="6" borderId="70" xfId="0" applyNumberFormat="1" applyFont="1" applyFill="1" applyBorder="1" applyAlignment="1" applyProtection="1">
      <alignment horizontal="center" vertical="center"/>
      <protection hidden="1"/>
    </xf>
    <xf numFmtId="2" fontId="17" fillId="6" borderId="70" xfId="0" applyNumberFormat="1" applyFont="1" applyFill="1" applyBorder="1" applyAlignment="1" applyProtection="1">
      <alignment horizontal="left" vertical="center"/>
      <protection hidden="1"/>
    </xf>
    <xf numFmtId="2" fontId="17" fillId="6" borderId="70" xfId="0" applyNumberFormat="1" applyFont="1" applyFill="1" applyBorder="1" applyAlignment="1" applyProtection="1">
      <alignment vertical="center"/>
      <protection hidden="1"/>
    </xf>
    <xf numFmtId="2" fontId="7" fillId="6" borderId="70" xfId="0" applyNumberFormat="1" applyFont="1" applyFill="1" applyBorder="1" applyAlignment="1" applyProtection="1">
      <alignment horizontal="center" vertical="center"/>
      <protection hidden="1"/>
    </xf>
    <xf numFmtId="172" fontId="7" fillId="6" borderId="71" xfId="0" applyNumberFormat="1" applyFont="1" applyFill="1" applyBorder="1" applyProtection="1">
      <protection hidden="1"/>
    </xf>
    <xf numFmtId="173" fontId="7" fillId="9" borderId="65" xfId="0" applyNumberFormat="1" applyFont="1" applyFill="1" applyBorder="1" applyAlignment="1" applyProtection="1">
      <alignment horizontal="center" vertical="center" wrapText="1"/>
      <protection hidden="1"/>
    </xf>
    <xf numFmtId="173" fontId="7" fillId="9" borderId="66" xfId="0" applyNumberFormat="1" applyFont="1" applyFill="1" applyBorder="1" applyAlignment="1" applyProtection="1">
      <alignment horizontal="center" vertical="center"/>
      <protection hidden="1"/>
    </xf>
    <xf numFmtId="11" fontId="7" fillId="9" borderId="66" xfId="0" applyNumberFormat="1" applyFont="1" applyFill="1" applyBorder="1" applyAlignment="1" applyProtection="1">
      <alignment horizontal="center" vertical="center"/>
      <protection hidden="1"/>
    </xf>
    <xf numFmtId="173" fontId="7" fillId="9" borderId="67" xfId="0" applyNumberFormat="1" applyFont="1" applyFill="1" applyBorder="1" applyAlignment="1" applyProtection="1">
      <alignment horizontal="center" vertical="center"/>
      <protection hidden="1"/>
    </xf>
    <xf numFmtId="2" fontId="8" fillId="6" borderId="22" xfId="2" applyNumberFormat="1" applyFont="1" applyFill="1" applyBorder="1" applyAlignment="1" applyProtection="1">
      <alignment horizontal="center" vertical="center"/>
      <protection hidden="1"/>
    </xf>
    <xf numFmtId="2" fontId="8" fillId="6" borderId="23" xfId="2" applyNumberFormat="1" applyFont="1" applyFill="1" applyBorder="1" applyAlignment="1" applyProtection="1">
      <alignment horizontal="center" vertical="center"/>
      <protection hidden="1"/>
    </xf>
    <xf numFmtId="173" fontId="13" fillId="9" borderId="31" xfId="0" applyNumberFormat="1" applyFont="1" applyFill="1" applyBorder="1" applyAlignment="1" applyProtection="1">
      <alignment horizontal="center" vertical="center"/>
      <protection hidden="1"/>
    </xf>
    <xf numFmtId="0" fontId="3" fillId="6" borderId="33" xfId="2" applyFont="1" applyFill="1" applyBorder="1" applyAlignment="1" applyProtection="1">
      <alignment horizontal="center" vertical="center"/>
      <protection hidden="1"/>
    </xf>
    <xf numFmtId="0" fontId="3" fillId="6" borderId="35" xfId="2" applyFont="1" applyFill="1" applyBorder="1" applyAlignment="1" applyProtection="1">
      <alignment horizontal="center" vertical="center"/>
      <protection hidden="1"/>
    </xf>
    <xf numFmtId="2" fontId="8" fillId="6" borderId="33" xfId="2" applyNumberFormat="1" applyFont="1" applyFill="1" applyBorder="1" applyAlignment="1" applyProtection="1">
      <alignment horizontal="center" vertical="center"/>
      <protection hidden="1"/>
    </xf>
    <xf numFmtId="2" fontId="8" fillId="6" borderId="35" xfId="2" applyNumberFormat="1" applyFont="1" applyFill="1" applyBorder="1" applyAlignment="1" applyProtection="1">
      <alignment horizontal="center" vertical="center"/>
      <protection hidden="1"/>
    </xf>
    <xf numFmtId="11" fontId="13" fillId="9" borderId="15" xfId="0" applyNumberFormat="1" applyFont="1" applyFill="1" applyBorder="1" applyAlignment="1" applyProtection="1">
      <alignment horizontal="center" vertical="center"/>
      <protection hidden="1"/>
    </xf>
    <xf numFmtId="1" fontId="9" fillId="9" borderId="66" xfId="0" applyNumberFormat="1" applyFont="1" applyFill="1" applyBorder="1" applyAlignment="1" applyProtection="1">
      <alignment horizontal="center" vertical="center"/>
      <protection hidden="1"/>
    </xf>
    <xf numFmtId="1" fontId="38" fillId="9" borderId="66" xfId="0" applyNumberFormat="1" applyFont="1" applyFill="1" applyBorder="1" applyAlignment="1" applyProtection="1">
      <alignment horizontal="center" vertical="center"/>
      <protection hidden="1"/>
    </xf>
    <xf numFmtId="1" fontId="7" fillId="9" borderId="65" xfId="0" applyNumberFormat="1" applyFont="1" applyFill="1" applyBorder="1" applyAlignment="1" applyProtection="1">
      <alignment horizontal="center" vertical="center"/>
      <protection hidden="1"/>
    </xf>
    <xf numFmtId="1" fontId="7" fillId="9" borderId="66" xfId="0" applyNumberFormat="1" applyFont="1" applyFill="1" applyBorder="1" applyAlignment="1" applyProtection="1">
      <alignment horizontal="center" vertical="center"/>
      <protection hidden="1"/>
    </xf>
    <xf numFmtId="172" fontId="25" fillId="8" borderId="70" xfId="0" applyNumberFormat="1" applyFont="1" applyFill="1" applyBorder="1" applyAlignment="1" applyProtection="1">
      <alignment horizontal="center" vertical="center"/>
      <protection hidden="1"/>
    </xf>
    <xf numFmtId="2" fontId="52" fillId="8" borderId="70" xfId="0" applyNumberFormat="1" applyFont="1" applyFill="1" applyBorder="1" applyAlignment="1" applyProtection="1">
      <alignment horizontal="center" vertical="center"/>
      <protection hidden="1"/>
    </xf>
    <xf numFmtId="2" fontId="52" fillId="3" borderId="71" xfId="0" applyNumberFormat="1" applyFont="1" applyFill="1" applyBorder="1" applyAlignment="1" applyProtection="1">
      <alignment horizontal="center" vertical="center"/>
      <protection hidden="1"/>
    </xf>
    <xf numFmtId="2" fontId="8" fillId="9" borderId="44" xfId="0" applyNumberFormat="1" applyFont="1" applyFill="1" applyBorder="1" applyAlignment="1" applyProtection="1">
      <alignment horizontal="center" vertical="center"/>
      <protection hidden="1"/>
    </xf>
    <xf numFmtId="11" fontId="7" fillId="9" borderId="45" xfId="0" applyNumberFormat="1" applyFont="1" applyFill="1" applyBorder="1" applyAlignment="1" applyProtection="1">
      <alignment horizontal="center" vertical="center" wrapText="1"/>
      <protection hidden="1"/>
    </xf>
    <xf numFmtId="2" fontId="7" fillId="10" borderId="27" xfId="0" applyNumberFormat="1" applyFont="1" applyFill="1" applyBorder="1" applyAlignment="1" applyProtection="1">
      <alignment horizontal="center" vertical="center"/>
      <protection hidden="1"/>
    </xf>
    <xf numFmtId="2" fontId="25" fillId="8" borderId="69" xfId="0" applyNumberFormat="1" applyFont="1" applyFill="1" applyBorder="1" applyAlignment="1" applyProtection="1">
      <alignment horizontal="center" vertical="center"/>
      <protection hidden="1"/>
    </xf>
    <xf numFmtId="2" fontId="25" fillId="8" borderId="70" xfId="0" applyNumberFormat="1" applyFont="1" applyFill="1" applyBorder="1" applyAlignment="1" applyProtection="1">
      <alignment horizontal="center" vertical="center"/>
      <protection hidden="1"/>
    </xf>
    <xf numFmtId="2" fontId="52" fillId="3" borderId="70" xfId="0" applyNumberFormat="1" applyFont="1" applyFill="1" applyBorder="1" applyAlignment="1" applyProtection="1">
      <alignment horizontal="center" vertical="center" wrapText="1"/>
      <protection hidden="1"/>
    </xf>
    <xf numFmtId="0" fontId="29" fillId="24" borderId="0" xfId="0" applyFont="1" applyFill="1" applyProtection="1">
      <protection hidden="1"/>
    </xf>
    <xf numFmtId="0" fontId="29" fillId="0" borderId="0" xfId="0" applyFont="1" applyFill="1" applyAlignment="1" applyProtection="1">
      <alignment vertical="justify" wrapText="1"/>
      <protection hidden="1"/>
    </xf>
    <xf numFmtId="0" fontId="26" fillId="0" borderId="0" xfId="0" applyFont="1" applyFill="1" applyAlignment="1" applyProtection="1">
      <alignment horizontal="left" vertical="center" wrapText="1"/>
      <protection hidden="1"/>
    </xf>
    <xf numFmtId="171" fontId="7" fillId="9" borderId="6" xfId="0" applyNumberFormat="1" applyFont="1" applyFill="1" applyBorder="1" applyAlignment="1" applyProtection="1">
      <alignment horizontal="center" vertical="center"/>
      <protection hidden="1"/>
    </xf>
    <xf numFmtId="1" fontId="29" fillId="24" borderId="0" xfId="0" applyNumberFormat="1" applyFont="1" applyFill="1" applyBorder="1" applyAlignment="1" applyProtection="1">
      <alignment horizontal="left" vertical="center" wrapText="1"/>
      <protection hidden="1"/>
    </xf>
    <xf numFmtId="2" fontId="9" fillId="9" borderId="46" xfId="0" applyNumberFormat="1" applyFont="1" applyFill="1" applyBorder="1" applyAlignment="1" applyProtection="1">
      <alignment horizontal="center" vertical="center"/>
      <protection hidden="1"/>
    </xf>
    <xf numFmtId="167" fontId="7" fillId="2" borderId="0" xfId="0" applyNumberFormat="1" applyFont="1" applyFill="1" applyBorder="1" applyProtection="1">
      <protection hidden="1"/>
    </xf>
    <xf numFmtId="0" fontId="0" fillId="0" borderId="0" xfId="0" applyAlignment="1">
      <alignment horizontal="center"/>
    </xf>
    <xf numFmtId="2" fontId="0" fillId="0" borderId="1" xfId="0" applyNumberFormat="1" applyBorder="1" applyAlignment="1">
      <alignment horizontal="center"/>
    </xf>
    <xf numFmtId="0" fontId="0" fillId="0" borderId="41" xfId="0" applyBorder="1" applyAlignment="1">
      <alignment horizontal="center"/>
    </xf>
    <xf numFmtId="11" fontId="0" fillId="0" borderId="0" xfId="0" applyNumberFormat="1"/>
    <xf numFmtId="170" fontId="0" fillId="0" borderId="0" xfId="0" applyNumberFormat="1"/>
    <xf numFmtId="2" fontId="0" fillId="0" borderId="8" xfId="0" applyNumberFormat="1" applyBorder="1" applyAlignment="1">
      <alignment horizontal="center"/>
    </xf>
    <xf numFmtId="170" fontId="0" fillId="0" borderId="42" xfId="0" applyNumberFormat="1" applyBorder="1" applyAlignment="1">
      <alignment horizontal="center"/>
    </xf>
    <xf numFmtId="0" fontId="7" fillId="9" borderId="4" xfId="0" applyFont="1" applyFill="1" applyBorder="1" applyAlignment="1" applyProtection="1">
      <alignment horizontal="center" vertical="center"/>
      <protection hidden="1"/>
    </xf>
    <xf numFmtId="164" fontId="7" fillId="9" borderId="5" xfId="0" applyNumberFormat="1" applyFont="1" applyFill="1" applyBorder="1" applyAlignment="1" applyProtection="1">
      <alignment horizontal="center" vertical="center"/>
      <protection hidden="1"/>
    </xf>
    <xf numFmtId="0" fontId="7" fillId="9" borderId="39" xfId="0" applyFont="1" applyFill="1" applyBorder="1" applyAlignment="1" applyProtection="1">
      <alignment horizontal="center" vertical="center"/>
      <protection hidden="1"/>
    </xf>
    <xf numFmtId="0" fontId="29" fillId="15" borderId="57" xfId="0" applyFont="1" applyFill="1" applyBorder="1" applyAlignment="1" applyProtection="1">
      <alignment horizontal="center" vertical="center"/>
      <protection hidden="1"/>
    </xf>
    <xf numFmtId="0" fontId="29" fillId="15" borderId="2" xfId="0" applyFont="1" applyFill="1" applyBorder="1" applyAlignment="1" applyProtection="1">
      <alignment horizontal="center" vertical="center"/>
      <protection hidden="1"/>
    </xf>
    <xf numFmtId="0" fontId="29" fillId="15" borderId="37" xfId="0" applyFont="1" applyFill="1" applyBorder="1" applyAlignment="1" applyProtection="1">
      <alignment horizontal="center" vertical="center"/>
      <protection hidden="1"/>
    </xf>
    <xf numFmtId="0" fontId="29" fillId="0" borderId="17" xfId="0" applyFont="1" applyFill="1" applyBorder="1" applyAlignment="1" applyProtection="1">
      <alignment horizontal="center" vertical="center"/>
      <protection hidden="1"/>
    </xf>
    <xf numFmtId="0" fontId="29" fillId="0" borderId="2" xfId="0" applyFont="1" applyFill="1" applyBorder="1" applyAlignment="1" applyProtection="1">
      <alignment horizontal="center" vertical="center"/>
      <protection hidden="1"/>
    </xf>
    <xf numFmtId="0" fontId="29" fillId="0" borderId="25" xfId="0" applyFont="1" applyFill="1" applyBorder="1" applyAlignment="1" applyProtection="1">
      <alignment horizontal="center" vertical="center"/>
      <protection hidden="1"/>
    </xf>
    <xf numFmtId="0" fontId="29" fillId="15" borderId="25" xfId="0" applyFont="1" applyFill="1" applyBorder="1" applyAlignment="1" applyProtection="1">
      <alignment horizontal="center" vertical="center"/>
      <protection hidden="1"/>
    </xf>
    <xf numFmtId="0" fontId="29" fillId="23" borderId="57" xfId="0" applyFont="1" applyFill="1" applyBorder="1" applyAlignment="1" applyProtection="1">
      <alignment horizontal="center" vertical="center"/>
      <protection hidden="1"/>
    </xf>
    <xf numFmtId="0" fontId="49" fillId="6" borderId="32" xfId="0" applyFont="1" applyFill="1" applyBorder="1" applyAlignment="1" applyProtection="1">
      <alignment horizontal="center" vertical="center" wrapText="1"/>
      <protection hidden="1"/>
    </xf>
    <xf numFmtId="0" fontId="29" fillId="0" borderId="41" xfId="0" applyFont="1" applyFill="1" applyBorder="1" applyAlignment="1" applyProtection="1">
      <alignment horizontal="center" vertical="center" wrapText="1"/>
      <protection hidden="1"/>
    </xf>
    <xf numFmtId="0" fontId="29" fillId="0" borderId="45" xfId="0" applyFont="1" applyFill="1" applyBorder="1" applyAlignment="1" applyProtection="1">
      <alignment horizontal="center" vertical="center"/>
      <protection hidden="1"/>
    </xf>
    <xf numFmtId="0" fontId="29" fillId="15" borderId="43" xfId="0" applyFont="1" applyFill="1" applyBorder="1" applyAlignment="1" applyProtection="1">
      <alignment horizontal="center" vertical="center" wrapText="1"/>
      <protection hidden="1"/>
    </xf>
    <xf numFmtId="0" fontId="29" fillId="15" borderId="20" xfId="0" applyFont="1" applyFill="1" applyBorder="1" applyAlignment="1" applyProtection="1">
      <alignment horizontal="center" vertical="center"/>
      <protection hidden="1"/>
    </xf>
    <xf numFmtId="168" fontId="29" fillId="15" borderId="20" xfId="0" applyNumberFormat="1" applyFont="1" applyFill="1" applyBorder="1" applyAlignment="1" applyProtection="1">
      <alignment horizontal="center" vertical="center"/>
      <protection hidden="1"/>
    </xf>
    <xf numFmtId="0" fontId="29" fillId="15" borderId="20" xfId="4" applyFont="1" applyFill="1" applyBorder="1" applyProtection="1">
      <alignment horizontal="center" vertical="center"/>
      <protection hidden="1"/>
    </xf>
    <xf numFmtId="164" fontId="29" fillId="19" borderId="20" xfId="0" applyNumberFormat="1" applyFont="1" applyFill="1" applyBorder="1" applyAlignment="1" applyProtection="1">
      <alignment horizontal="center" vertical="center"/>
      <protection hidden="1"/>
    </xf>
    <xf numFmtId="2" fontId="29" fillId="15" borderId="20" xfId="0" applyNumberFormat="1" applyFont="1" applyFill="1" applyBorder="1" applyAlignment="1" applyProtection="1">
      <alignment horizontal="center" vertical="center"/>
      <protection hidden="1"/>
    </xf>
    <xf numFmtId="0" fontId="29" fillId="19" borderId="20" xfId="0" applyFont="1" applyFill="1" applyBorder="1" applyAlignment="1" applyProtection="1">
      <alignment horizontal="center" vertical="center"/>
      <protection hidden="1"/>
    </xf>
    <xf numFmtId="165" fontId="29" fillId="15" borderId="20" xfId="0" applyNumberFormat="1" applyFont="1" applyFill="1" applyBorder="1" applyAlignment="1" applyProtection="1">
      <alignment horizontal="center" vertical="center"/>
      <protection hidden="1"/>
    </xf>
    <xf numFmtId="169" fontId="29" fillId="15" borderId="20" xfId="0" applyNumberFormat="1" applyFont="1" applyFill="1" applyBorder="1" applyAlignment="1" applyProtection="1">
      <alignment horizontal="center" vertical="center"/>
      <protection hidden="1"/>
    </xf>
    <xf numFmtId="0" fontId="29" fillId="15" borderId="17" xfId="0" applyFont="1" applyFill="1" applyBorder="1" applyAlignment="1" applyProtection="1">
      <alignment horizontal="center" vertical="center"/>
      <protection hidden="1"/>
    </xf>
    <xf numFmtId="0" fontId="29" fillId="23" borderId="7" xfId="0" applyFont="1" applyFill="1" applyBorder="1" applyAlignment="1" applyProtection="1">
      <alignment horizontal="center" vertical="center" wrapText="1"/>
      <protection hidden="1"/>
    </xf>
    <xf numFmtId="0" fontId="29" fillId="23" borderId="8" xfId="0" applyFont="1" applyFill="1" applyBorder="1" applyAlignment="1" applyProtection="1">
      <alignment horizontal="center" vertical="center"/>
      <protection hidden="1"/>
    </xf>
    <xf numFmtId="168" fontId="29" fillId="23" borderId="8" xfId="0" applyNumberFormat="1" applyFont="1" applyFill="1" applyBorder="1" applyAlignment="1" applyProtection="1">
      <alignment horizontal="center" vertical="center"/>
      <protection hidden="1"/>
    </xf>
    <xf numFmtId="181" fontId="29" fillId="23" borderId="8" xfId="0" applyNumberFormat="1" applyFont="1" applyFill="1" applyBorder="1" applyAlignment="1" applyProtection="1">
      <alignment horizontal="center" vertical="center"/>
      <protection hidden="1"/>
    </xf>
    <xf numFmtId="0" fontId="29" fillId="23" borderId="8" xfId="4" applyFont="1" applyFill="1" applyBorder="1" applyProtection="1">
      <alignment horizontal="center" vertical="center"/>
      <protection hidden="1"/>
    </xf>
    <xf numFmtId="164" fontId="29" fillId="23" borderId="8" xfId="0" applyNumberFormat="1" applyFont="1" applyFill="1" applyBorder="1" applyAlignment="1" applyProtection="1">
      <alignment horizontal="center" vertical="center"/>
      <protection hidden="1"/>
    </xf>
    <xf numFmtId="169" fontId="29" fillId="23" borderId="8" xfId="0" applyNumberFormat="1" applyFont="1" applyFill="1" applyBorder="1" applyAlignment="1" applyProtection="1">
      <alignment horizontal="center" vertical="center"/>
      <protection hidden="1"/>
    </xf>
    <xf numFmtId="0" fontId="29" fillId="23" borderId="37" xfId="0" applyFont="1" applyFill="1" applyBorder="1" applyAlignment="1" applyProtection="1">
      <alignment horizontal="center" vertical="center"/>
      <protection hidden="1"/>
    </xf>
    <xf numFmtId="166" fontId="29" fillId="19" borderId="49" xfId="0" applyNumberFormat="1" applyFont="1" applyFill="1" applyBorder="1" applyAlignment="1" applyProtection="1">
      <alignment horizontal="center" vertical="center"/>
      <protection hidden="1"/>
    </xf>
    <xf numFmtId="180" fontId="29" fillId="15" borderId="49" xfId="0" applyNumberFormat="1" applyFont="1" applyFill="1" applyBorder="1" applyAlignment="1" applyProtection="1">
      <alignment horizontal="center" vertical="center"/>
      <protection hidden="1"/>
    </xf>
    <xf numFmtId="169" fontId="29" fillId="19" borderId="49" xfId="0" applyNumberFormat="1" applyFont="1" applyFill="1" applyBorder="1" applyAlignment="1" applyProtection="1">
      <alignment horizontal="center" vertical="center"/>
      <protection hidden="1"/>
    </xf>
    <xf numFmtId="0" fontId="29" fillId="0" borderId="9" xfId="0" applyFont="1" applyBorder="1" applyAlignment="1" applyProtection="1">
      <protection hidden="1"/>
    </xf>
    <xf numFmtId="0" fontId="29" fillId="0" borderId="10" xfId="0" applyFont="1" applyBorder="1" applyAlignment="1" applyProtection="1">
      <protection hidden="1"/>
    </xf>
    <xf numFmtId="0" fontId="29" fillId="0" borderId="10" xfId="0" applyFont="1" applyBorder="1" applyProtection="1">
      <protection hidden="1"/>
    </xf>
    <xf numFmtId="0" fontId="29" fillId="0" borderId="10" xfId="0" applyFont="1" applyBorder="1" applyAlignment="1" applyProtection="1">
      <alignment horizontal="center" vertical="center"/>
      <protection hidden="1"/>
    </xf>
    <xf numFmtId="0" fontId="29" fillId="0" borderId="47" xfId="0" applyFont="1" applyBorder="1" applyAlignment="1" applyProtection="1">
      <alignment horizontal="center" vertical="center"/>
      <protection hidden="1"/>
    </xf>
    <xf numFmtId="1" fontId="7" fillId="6" borderId="6" xfId="0" applyNumberFormat="1" applyFont="1" applyFill="1" applyBorder="1" applyAlignment="1" applyProtection="1">
      <alignment horizontal="center" vertical="center"/>
      <protection hidden="1"/>
    </xf>
    <xf numFmtId="196" fontId="7" fillId="9" borderId="66" xfId="0" applyNumberFormat="1" applyFont="1" applyFill="1" applyBorder="1" applyAlignment="1" applyProtection="1">
      <alignment horizontal="center" vertical="center"/>
      <protection hidden="1"/>
    </xf>
    <xf numFmtId="2" fontId="8" fillId="9" borderId="48" xfId="0" applyNumberFormat="1" applyFont="1" applyFill="1" applyBorder="1" applyAlignment="1" applyProtection="1">
      <alignment horizontal="center" vertical="center"/>
      <protection hidden="1"/>
    </xf>
    <xf numFmtId="2" fontId="8" fillId="9" borderId="49" xfId="0" applyNumberFormat="1" applyFont="1" applyFill="1" applyBorder="1" applyAlignment="1" applyProtection="1">
      <alignment horizontal="center" vertical="center"/>
      <protection hidden="1"/>
    </xf>
    <xf numFmtId="2" fontId="8" fillId="9" borderId="50" xfId="0" applyNumberFormat="1" applyFont="1" applyFill="1" applyBorder="1" applyAlignment="1" applyProtection="1">
      <alignment horizontal="center" vertical="center"/>
      <protection hidden="1"/>
    </xf>
    <xf numFmtId="1" fontId="8" fillId="9" borderId="73" xfId="0" applyNumberFormat="1" applyFont="1" applyFill="1" applyBorder="1" applyAlignment="1" applyProtection="1">
      <alignment horizontal="center" vertical="center"/>
      <protection hidden="1"/>
    </xf>
    <xf numFmtId="1" fontId="8" fillId="9" borderId="10" xfId="0" applyNumberFormat="1" applyFont="1" applyFill="1" applyBorder="1" applyAlignment="1" applyProtection="1">
      <alignment horizontal="center" vertical="center"/>
      <protection hidden="1"/>
    </xf>
    <xf numFmtId="1" fontId="8" fillId="9" borderId="11" xfId="0" applyNumberFormat="1" applyFont="1" applyFill="1" applyBorder="1" applyAlignment="1" applyProtection="1">
      <alignment horizontal="center" vertical="center"/>
      <protection hidden="1"/>
    </xf>
    <xf numFmtId="1" fontId="13" fillId="6" borderId="64" xfId="0" applyNumberFormat="1" applyFont="1" applyFill="1" applyBorder="1" applyAlignment="1" applyProtection="1">
      <alignment horizontal="center" vertical="center" wrapText="1"/>
      <protection hidden="1"/>
    </xf>
    <xf numFmtId="182" fontId="7" fillId="7" borderId="3" xfId="0" applyNumberFormat="1" applyFont="1" applyFill="1" applyBorder="1" applyAlignment="1" applyProtection="1">
      <alignment horizontal="center" vertical="center"/>
      <protection locked="0" hidden="1"/>
    </xf>
    <xf numFmtId="171" fontId="13" fillId="9" borderId="3" xfId="0" applyNumberFormat="1" applyFont="1" applyFill="1" applyBorder="1" applyAlignment="1" applyProtection="1">
      <alignment horizontal="center" vertical="center"/>
      <protection hidden="1"/>
    </xf>
    <xf numFmtId="171" fontId="13" fillId="9" borderId="13" xfId="0" applyNumberFormat="1" applyFont="1" applyFill="1" applyBorder="1" applyAlignment="1" applyProtection="1">
      <alignment horizontal="center" vertical="center"/>
      <protection hidden="1"/>
    </xf>
    <xf numFmtId="171" fontId="13" fillId="9" borderId="6" xfId="0" applyNumberFormat="1" applyFont="1" applyFill="1" applyBorder="1" applyAlignment="1" applyProtection="1">
      <alignment horizontal="center" vertical="center"/>
      <protection hidden="1"/>
    </xf>
    <xf numFmtId="2" fontId="13" fillId="6" borderId="69" xfId="0" applyNumberFormat="1" applyFont="1" applyFill="1" applyBorder="1" applyAlignment="1" applyProtection="1">
      <alignment horizontal="center" vertical="center"/>
      <protection hidden="1"/>
    </xf>
    <xf numFmtId="2" fontId="13" fillId="6" borderId="70" xfId="0" applyNumberFormat="1" applyFont="1" applyFill="1" applyBorder="1" applyAlignment="1" applyProtection="1">
      <alignment horizontal="center" vertical="center" wrapText="1"/>
      <protection hidden="1"/>
    </xf>
    <xf numFmtId="2" fontId="13" fillId="6" borderId="71" xfId="0" applyNumberFormat="1" applyFont="1" applyFill="1" applyBorder="1" applyAlignment="1" applyProtection="1">
      <alignment horizontal="center" vertical="center" wrapText="1"/>
      <protection hidden="1"/>
    </xf>
    <xf numFmtId="170" fontId="0" fillId="0" borderId="1" xfId="0" applyNumberFormat="1" applyBorder="1" applyAlignment="1">
      <alignment horizontal="center"/>
    </xf>
    <xf numFmtId="170" fontId="0" fillId="25" borderId="8" xfId="0" applyNumberFormat="1" applyFill="1" applyBorder="1" applyAlignment="1">
      <alignment horizontal="center"/>
    </xf>
    <xf numFmtId="0" fontId="29" fillId="0" borderId="0" xfId="0" applyFont="1" applyFill="1" applyAlignment="1" applyProtection="1">
      <alignment horizontal="center" vertical="center" wrapText="1"/>
      <protection hidden="1"/>
    </xf>
    <xf numFmtId="2" fontId="7" fillId="6" borderId="62" xfId="0" applyNumberFormat="1" applyFont="1" applyFill="1" applyBorder="1" applyAlignment="1" applyProtection="1">
      <alignment vertical="center"/>
      <protection hidden="1"/>
    </xf>
    <xf numFmtId="2" fontId="7" fillId="6" borderId="19" xfId="0" applyNumberFormat="1" applyFont="1" applyFill="1" applyBorder="1" applyAlignment="1" applyProtection="1">
      <alignment vertical="center"/>
      <protection hidden="1"/>
    </xf>
    <xf numFmtId="2" fontId="7" fillId="6" borderId="66" xfId="0" applyNumberFormat="1" applyFont="1" applyFill="1" applyBorder="1" applyAlignment="1" applyProtection="1">
      <alignment vertical="center"/>
      <protection hidden="1"/>
    </xf>
    <xf numFmtId="2" fontId="13" fillId="6" borderId="21" xfId="0" applyNumberFormat="1" applyFont="1" applyFill="1" applyBorder="1" applyAlignment="1" applyProtection="1">
      <alignment vertical="center"/>
      <protection hidden="1"/>
    </xf>
    <xf numFmtId="2" fontId="13" fillId="6" borderId="40" xfId="0" applyNumberFormat="1" applyFont="1" applyFill="1" applyBorder="1" applyAlignment="1" applyProtection="1">
      <alignment vertical="center"/>
      <protection hidden="1"/>
    </xf>
    <xf numFmtId="2" fontId="13" fillId="6" borderId="6" xfId="0" applyNumberFormat="1" applyFont="1" applyFill="1" applyBorder="1" applyAlignment="1" applyProtection="1">
      <alignment vertical="center"/>
      <protection hidden="1"/>
    </xf>
    <xf numFmtId="0" fontId="26" fillId="0" borderId="0" xfId="0" applyFont="1" applyAlignment="1" applyProtection="1">
      <alignment vertical="center" wrapText="1"/>
      <protection hidden="1"/>
    </xf>
    <xf numFmtId="0" fontId="29" fillId="0" borderId="0" xfId="0" applyFont="1" applyFill="1" applyBorder="1" applyAlignment="1" applyProtection="1">
      <alignment horizontal="left" vertical="center" wrapText="1"/>
      <protection hidden="1"/>
    </xf>
    <xf numFmtId="0" fontId="26" fillId="0" borderId="0" xfId="0" applyFont="1" applyFill="1" applyAlignment="1" applyProtection="1">
      <alignment vertical="center" wrapText="1"/>
      <protection hidden="1"/>
    </xf>
    <xf numFmtId="11" fontId="29" fillId="0" borderId="0" xfId="0" applyNumberFormat="1" applyFont="1" applyFill="1" applyProtection="1">
      <protection hidden="1"/>
    </xf>
    <xf numFmtId="171" fontId="13" fillId="9" borderId="15" xfId="0" applyNumberFormat="1" applyFont="1" applyFill="1" applyBorder="1" applyAlignment="1" applyProtection="1">
      <alignment horizontal="center" vertical="center"/>
      <protection hidden="1"/>
    </xf>
    <xf numFmtId="169" fontId="13" fillId="9" borderId="20" xfId="0" applyNumberFormat="1" applyFont="1" applyFill="1" applyBorder="1" applyAlignment="1" applyProtection="1">
      <alignment horizontal="center" vertical="center"/>
      <protection hidden="1"/>
    </xf>
    <xf numFmtId="164" fontId="13" fillId="9" borderId="8" xfId="0" applyNumberFormat="1" applyFont="1" applyFill="1" applyBorder="1" applyAlignment="1" applyProtection="1">
      <alignment horizontal="center" vertical="center"/>
      <protection hidden="1"/>
    </xf>
    <xf numFmtId="170" fontId="13" fillId="9" borderId="8" xfId="0" applyNumberFormat="1" applyFont="1" applyFill="1" applyBorder="1" applyAlignment="1" applyProtection="1">
      <alignment horizontal="center" vertical="center"/>
      <protection hidden="1"/>
    </xf>
    <xf numFmtId="170" fontId="13" fillId="9" borderId="5" xfId="0" applyNumberFormat="1" applyFont="1" applyFill="1" applyBorder="1" applyAlignment="1" applyProtection="1">
      <alignment horizontal="center" vertical="center"/>
      <protection hidden="1"/>
    </xf>
    <xf numFmtId="170" fontId="7" fillId="9" borderId="5" xfId="0" applyNumberFormat="1" applyFont="1" applyFill="1" applyBorder="1" applyAlignment="1" applyProtection="1">
      <alignment horizontal="center" vertical="center"/>
      <protection hidden="1"/>
    </xf>
    <xf numFmtId="170" fontId="7" fillId="9" borderId="8" xfId="0" applyNumberFormat="1" applyFont="1" applyFill="1" applyBorder="1" applyAlignment="1" applyProtection="1">
      <alignment horizontal="center" vertical="center"/>
      <protection hidden="1"/>
    </xf>
    <xf numFmtId="9" fontId="7" fillId="0" borderId="0" xfId="1" applyFont="1" applyAlignment="1" applyProtection="1">
      <alignment horizontal="center"/>
      <protection hidden="1"/>
    </xf>
    <xf numFmtId="1" fontId="9" fillId="9" borderId="1" xfId="0" applyNumberFormat="1" applyFont="1" applyFill="1" applyBorder="1" applyAlignment="1" applyProtection="1">
      <alignment horizontal="center" vertical="center"/>
      <protection hidden="1"/>
    </xf>
    <xf numFmtId="171" fontId="8" fillId="9" borderId="48" xfId="0" applyNumberFormat="1" applyFont="1" applyFill="1" applyBorder="1" applyAlignment="1" applyProtection="1">
      <alignment horizontal="center" vertical="center"/>
      <protection hidden="1"/>
    </xf>
    <xf numFmtId="171" fontId="8" fillId="9" borderId="49" xfId="0" applyNumberFormat="1" applyFont="1" applyFill="1" applyBorder="1" applyAlignment="1" applyProtection="1">
      <alignment horizontal="center" vertical="center"/>
      <protection hidden="1"/>
    </xf>
    <xf numFmtId="164" fontId="8" fillId="9" borderId="49" xfId="0" applyNumberFormat="1" applyFont="1" applyFill="1" applyBorder="1" applyAlignment="1" applyProtection="1">
      <alignment horizontal="center" vertical="center"/>
      <protection hidden="1"/>
    </xf>
    <xf numFmtId="2" fontId="9" fillId="9" borderId="50"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protection hidden="1"/>
    </xf>
    <xf numFmtId="169" fontId="9" fillId="9" borderId="7" xfId="0" applyNumberFormat="1" applyFont="1" applyFill="1" applyBorder="1" applyAlignment="1" applyProtection="1">
      <alignment horizontal="center" vertical="center"/>
      <protection hidden="1"/>
    </xf>
    <xf numFmtId="169" fontId="9" fillId="9" borderId="8" xfId="0" applyNumberFormat="1" applyFont="1" applyFill="1" applyBorder="1" applyAlignment="1" applyProtection="1">
      <alignment horizontal="center" vertical="center"/>
      <protection hidden="1"/>
    </xf>
    <xf numFmtId="2" fontId="9" fillId="9" borderId="37"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protection hidden="1"/>
    </xf>
    <xf numFmtId="2" fontId="25" fillId="8" borderId="9" xfId="0" applyNumberFormat="1" applyFont="1" applyFill="1" applyBorder="1" applyAlignment="1" applyProtection="1">
      <alignment horizontal="center" vertical="center"/>
      <protection hidden="1"/>
    </xf>
    <xf numFmtId="2" fontId="25" fillId="3" borderId="11" xfId="0" applyNumberFormat="1" applyFont="1" applyFill="1" applyBorder="1" applyAlignment="1" applyProtection="1">
      <alignment horizontal="center" vertical="center" wrapText="1"/>
      <protection hidden="1"/>
    </xf>
    <xf numFmtId="1" fontId="7" fillId="9" borderId="43" xfId="0" applyNumberFormat="1" applyFont="1" applyFill="1" applyBorder="1" applyAlignment="1" applyProtection="1">
      <alignment horizontal="center" vertical="center"/>
      <protection hidden="1"/>
    </xf>
    <xf numFmtId="1" fontId="7" fillId="9" borderId="44"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protection hidden="1"/>
    </xf>
    <xf numFmtId="0" fontId="7" fillId="9" borderId="48" xfId="0" applyFont="1" applyFill="1" applyBorder="1" applyAlignment="1" applyProtection="1">
      <alignment horizontal="center" vertical="center"/>
      <protection hidden="1"/>
    </xf>
    <xf numFmtId="0" fontId="7" fillId="9" borderId="49" xfId="0" applyFont="1" applyFill="1" applyBorder="1" applyAlignment="1" applyProtection="1">
      <alignment horizontal="center" vertical="center"/>
      <protection hidden="1"/>
    </xf>
    <xf numFmtId="0" fontId="7" fillId="9" borderId="50" xfId="0" applyFont="1" applyFill="1" applyBorder="1" applyAlignment="1" applyProtection="1">
      <alignment horizontal="center" vertical="center"/>
      <protection hidden="1"/>
    </xf>
    <xf numFmtId="2" fontId="7" fillId="6" borderId="10" xfId="0" applyNumberFormat="1" applyFont="1" applyFill="1" applyBorder="1" applyAlignment="1" applyProtection="1">
      <alignment horizontal="center" vertical="center"/>
      <protection hidden="1"/>
    </xf>
    <xf numFmtId="2" fontId="5" fillId="6" borderId="10" xfId="0" applyNumberFormat="1"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1" fontId="7" fillId="9" borderId="45" xfId="0" applyNumberFormat="1" applyFont="1" applyFill="1" applyBorder="1" applyAlignment="1" applyProtection="1">
      <alignment horizontal="center" vertical="center"/>
      <protection hidden="1"/>
    </xf>
    <xf numFmtId="1" fontId="7" fillId="9" borderId="32" xfId="0" applyNumberFormat="1" applyFont="1" applyFill="1" applyBorder="1" applyAlignment="1" applyProtection="1">
      <alignment horizontal="center" vertical="center"/>
      <protection hidden="1"/>
    </xf>
    <xf numFmtId="1" fontId="7" fillId="9" borderId="46" xfId="0" applyNumberFormat="1" applyFont="1" applyFill="1" applyBorder="1" applyAlignment="1" applyProtection="1">
      <alignment horizontal="center" vertical="center"/>
      <protection hidden="1"/>
    </xf>
    <xf numFmtId="2" fontId="7" fillId="9" borderId="6" xfId="0" applyNumberFormat="1" applyFont="1" applyFill="1" applyBorder="1" applyAlignment="1" applyProtection="1">
      <alignment horizontal="center" vertical="center"/>
      <protection hidden="1"/>
    </xf>
    <xf numFmtId="167" fontId="8" fillId="9" borderId="9" xfId="0" applyNumberFormat="1" applyFont="1" applyFill="1" applyBorder="1" applyAlignment="1" applyProtection="1">
      <alignment horizontal="center" vertical="center"/>
      <protection hidden="1"/>
    </xf>
    <xf numFmtId="167" fontId="8" fillId="9" borderId="10" xfId="0" applyNumberFormat="1" applyFont="1" applyFill="1" applyBorder="1" applyAlignment="1" applyProtection="1">
      <alignment horizontal="center" vertical="center"/>
      <protection hidden="1"/>
    </xf>
    <xf numFmtId="165" fontId="8" fillId="9" borderId="11" xfId="0" applyNumberFormat="1" applyFont="1" applyFill="1" applyBorder="1" applyAlignment="1" applyProtection="1">
      <alignment horizontal="center" vertical="center"/>
      <protection hidden="1"/>
    </xf>
    <xf numFmtId="171" fontId="57" fillId="3" borderId="48" xfId="0" applyNumberFormat="1" applyFont="1" applyFill="1" applyBorder="1" applyAlignment="1" applyProtection="1">
      <alignment horizontal="center" vertical="center"/>
      <protection hidden="1"/>
    </xf>
    <xf numFmtId="171" fontId="57" fillId="3" borderId="49" xfId="0" applyNumberFormat="1" applyFont="1" applyFill="1" applyBorder="1" applyAlignment="1" applyProtection="1">
      <alignment horizontal="center" vertical="center"/>
      <protection hidden="1"/>
    </xf>
    <xf numFmtId="171" fontId="57" fillId="3" borderId="50" xfId="0" applyNumberFormat="1" applyFont="1" applyFill="1" applyBorder="1" applyAlignment="1" applyProtection="1">
      <alignment horizontal="center" vertical="center"/>
      <protection hidden="1"/>
    </xf>
    <xf numFmtId="166" fontId="7" fillId="9" borderId="57" xfId="0" applyNumberFormat="1" applyFont="1" applyFill="1" applyBorder="1" applyAlignment="1" applyProtection="1">
      <alignment horizontal="center" vertical="center"/>
      <protection hidden="1"/>
    </xf>
    <xf numFmtId="166" fontId="7" fillId="9" borderId="2" xfId="0" applyNumberFormat="1" applyFont="1" applyFill="1" applyBorder="1" applyAlignment="1" applyProtection="1">
      <alignment horizontal="center" vertical="center"/>
      <protection hidden="1"/>
    </xf>
    <xf numFmtId="166" fontId="7" fillId="9" borderId="37" xfId="0" applyNumberFormat="1" applyFont="1" applyFill="1" applyBorder="1" applyAlignment="1" applyProtection="1">
      <alignment horizontal="center" vertical="center"/>
      <protection hidden="1"/>
    </xf>
    <xf numFmtId="164" fontId="7" fillId="9" borderId="69" xfId="0" applyNumberFormat="1" applyFont="1" applyFill="1" applyBorder="1" applyAlignment="1" applyProtection="1">
      <alignment horizontal="center" vertical="center"/>
      <protection hidden="1"/>
    </xf>
    <xf numFmtId="164" fontId="7" fillId="9" borderId="70" xfId="0" applyNumberFormat="1" applyFont="1" applyFill="1" applyBorder="1" applyAlignment="1" applyProtection="1">
      <alignment horizontal="center" vertical="center"/>
      <protection hidden="1"/>
    </xf>
    <xf numFmtId="2" fontId="7" fillId="9" borderId="70" xfId="0" applyNumberFormat="1" applyFont="1" applyFill="1" applyBorder="1" applyAlignment="1" applyProtection="1">
      <alignment horizontal="center" vertical="center"/>
      <protection hidden="1"/>
    </xf>
    <xf numFmtId="2" fontId="7" fillId="9" borderId="71" xfId="0" applyNumberFormat="1" applyFont="1" applyFill="1" applyBorder="1" applyAlignment="1" applyProtection="1">
      <alignment horizontal="center" vertical="center"/>
      <protection hidden="1"/>
    </xf>
    <xf numFmtId="2" fontId="7" fillId="6" borderId="33" xfId="0" applyNumberFormat="1" applyFont="1" applyFill="1" applyBorder="1" applyAlignment="1" applyProtection="1">
      <alignment horizontal="center" vertical="center"/>
      <protection hidden="1"/>
    </xf>
    <xf numFmtId="2" fontId="7" fillId="6" borderId="54" xfId="0" applyNumberFormat="1" applyFont="1" applyFill="1" applyBorder="1" applyAlignment="1" applyProtection="1">
      <alignment horizontal="center" vertical="center"/>
      <protection hidden="1"/>
    </xf>
    <xf numFmtId="2" fontId="7" fillId="2" borderId="0" xfId="0" applyNumberFormat="1" applyFont="1" applyFill="1" applyBorder="1" applyAlignment="1" applyProtection="1">
      <alignment horizontal="center"/>
      <protection hidden="1"/>
    </xf>
    <xf numFmtId="0" fontId="6" fillId="0" borderId="0" xfId="0" applyFont="1"/>
    <xf numFmtId="0" fontId="40" fillId="0" borderId="40" xfId="0" applyFont="1" applyFill="1" applyBorder="1" applyAlignment="1">
      <alignment horizontal="center" vertical="center"/>
    </xf>
    <xf numFmtId="0" fontId="47" fillId="0" borderId="0" xfId="0" applyFont="1" applyFill="1"/>
    <xf numFmtId="0" fontId="6" fillId="0" borderId="0" xfId="0" applyFont="1" applyAlignment="1">
      <alignment vertical="center"/>
    </xf>
    <xf numFmtId="22" fontId="6" fillId="0" borderId="0" xfId="0" applyNumberFormat="1" applyFont="1" applyAlignment="1">
      <alignment vertical="center" wrapText="1"/>
    </xf>
    <xf numFmtId="0" fontId="6" fillId="0" borderId="0" xfId="0" applyFont="1" applyAlignment="1">
      <alignment horizontal="center" vertical="center" wrapText="1"/>
    </xf>
    <xf numFmtId="171" fontId="45" fillId="26" borderId="4" xfId="0" applyNumberFormat="1" applyFont="1" applyFill="1" applyBorder="1" applyAlignment="1">
      <alignment horizontal="center" vertical="center"/>
    </xf>
    <xf numFmtId="171" fontId="45" fillId="26" borderId="5" xfId="0" applyNumberFormat="1" applyFont="1" applyFill="1" applyBorder="1" applyAlignment="1">
      <alignment horizontal="center" vertical="center"/>
    </xf>
    <xf numFmtId="171" fontId="45" fillId="26" borderId="39" xfId="0" applyNumberFormat="1" applyFont="1" applyFill="1" applyBorder="1" applyAlignment="1">
      <alignment horizontal="center" vertical="center"/>
    </xf>
    <xf numFmtId="171" fontId="45" fillId="26" borderId="7" xfId="0" applyNumberFormat="1" applyFont="1" applyFill="1" applyBorder="1" applyAlignment="1">
      <alignment horizontal="center" vertical="center" wrapText="1"/>
    </xf>
    <xf numFmtId="171" fontId="45" fillId="26" borderId="8" xfId="0" applyNumberFormat="1" applyFont="1" applyFill="1" applyBorder="1" applyAlignment="1">
      <alignment horizontal="center" vertical="center" wrapText="1"/>
    </xf>
    <xf numFmtId="171" fontId="45" fillId="26" borderId="12" xfId="0" applyNumberFormat="1" applyFont="1" applyFill="1" applyBorder="1" applyAlignment="1">
      <alignment horizontal="center" vertical="center" wrapText="1"/>
    </xf>
    <xf numFmtId="2" fontId="6" fillId="6" borderId="16" xfId="0" applyNumberFormat="1" applyFont="1" applyFill="1" applyBorder="1" applyAlignment="1" applyProtection="1">
      <alignment horizontal="center" vertical="center" wrapText="1"/>
      <protection hidden="1"/>
    </xf>
    <xf numFmtId="164" fontId="0" fillId="0" borderId="1" xfId="0" applyNumberFormat="1" applyBorder="1" applyAlignment="1">
      <alignment horizontal="center"/>
    </xf>
    <xf numFmtId="170" fontId="0" fillId="0" borderId="12" xfId="0" applyNumberFormat="1" applyBorder="1" applyAlignment="1">
      <alignment horizontal="center"/>
    </xf>
    <xf numFmtId="170" fontId="0" fillId="25" borderId="35" xfId="0" applyNumberFormat="1" applyFill="1" applyBorder="1" applyAlignment="1">
      <alignment horizontal="center"/>
    </xf>
    <xf numFmtId="0" fontId="7" fillId="9" borderId="45" xfId="0" applyFont="1" applyFill="1" applyBorder="1" applyAlignment="1" applyProtection="1">
      <alignment horizontal="center" vertical="center"/>
      <protection hidden="1"/>
    </xf>
    <xf numFmtId="191" fontId="7" fillId="9" borderId="32" xfId="0" applyNumberFormat="1" applyFont="1" applyFill="1" applyBorder="1" applyAlignment="1" applyProtection="1">
      <alignment horizontal="center" vertical="center"/>
      <protection hidden="1"/>
    </xf>
    <xf numFmtId="171" fontId="7" fillId="9" borderId="32" xfId="0" applyNumberFormat="1" applyFont="1" applyFill="1" applyBorder="1" applyAlignment="1" applyProtection="1">
      <alignment horizontal="center" vertical="center"/>
      <protection hidden="1"/>
    </xf>
    <xf numFmtId="0" fontId="7" fillId="9" borderId="46"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Fill="1" applyProtection="1">
      <protection hidden="1"/>
    </xf>
    <xf numFmtId="0" fontId="30" fillId="0" borderId="11" xfId="0" applyFont="1" applyBorder="1" applyAlignment="1" applyProtection="1">
      <alignment horizontal="center" vertical="center"/>
      <protection hidden="1"/>
    </xf>
    <xf numFmtId="0" fontId="30" fillId="0" borderId="44" xfId="0" applyFont="1" applyBorder="1" applyAlignment="1" applyProtection="1">
      <alignment horizontal="center" vertical="center"/>
      <protection hidden="1"/>
    </xf>
    <xf numFmtId="0" fontId="30" fillId="0" borderId="42" xfId="0" applyFont="1" applyBorder="1" applyAlignment="1" applyProtection="1">
      <alignment horizontal="center" vertical="center"/>
      <protection hidden="1"/>
    </xf>
    <xf numFmtId="0" fontId="30" fillId="0" borderId="46" xfId="0" applyFont="1" applyBorder="1" applyAlignment="1" applyProtection="1">
      <alignment horizontal="center" vertical="center"/>
      <protection hidden="1"/>
    </xf>
    <xf numFmtId="0" fontId="30" fillId="23" borderId="39" xfId="0" applyFont="1" applyFill="1" applyBorder="1" applyAlignment="1" applyProtection="1">
      <alignment horizontal="center" vertical="center"/>
      <protection hidden="1"/>
    </xf>
    <xf numFmtId="0" fontId="30" fillId="23" borderId="12" xfId="0" applyFont="1" applyFill="1" applyBorder="1" applyAlignment="1" applyProtection="1">
      <alignment horizontal="center" vertical="center"/>
      <protection hidden="1"/>
    </xf>
    <xf numFmtId="0" fontId="30" fillId="0" borderId="0" xfId="0" applyFont="1" applyBorder="1" applyAlignment="1" applyProtection="1">
      <alignment horizontal="center"/>
      <protection hidden="1"/>
    </xf>
    <xf numFmtId="0" fontId="30" fillId="0" borderId="0" xfId="0" applyFont="1" applyProtection="1">
      <protection hidden="1"/>
    </xf>
    <xf numFmtId="164" fontId="7" fillId="9" borderId="8" xfId="0" applyNumberFormat="1" applyFont="1" applyFill="1" applyBorder="1" applyAlignment="1" applyProtection="1">
      <alignment horizontal="center" vertical="center"/>
      <protection hidden="1"/>
    </xf>
    <xf numFmtId="1" fontId="13" fillId="19" borderId="9" xfId="0" applyNumberFormat="1" applyFont="1" applyFill="1" applyBorder="1" applyAlignment="1" applyProtection="1">
      <alignment horizontal="center" vertical="center"/>
      <protection hidden="1"/>
    </xf>
    <xf numFmtId="2" fontId="13" fillId="19" borderId="10" xfId="0" applyNumberFormat="1" applyFont="1" applyFill="1" applyBorder="1" applyAlignment="1" applyProtection="1">
      <alignment horizontal="center" vertical="center"/>
      <protection hidden="1"/>
    </xf>
    <xf numFmtId="0" fontId="29" fillId="2" borderId="0" xfId="0" applyFont="1" applyFill="1" applyAlignment="1" applyProtection="1">
      <alignment vertical="center" wrapText="1"/>
      <protection locked="0" hidden="1"/>
    </xf>
    <xf numFmtId="168" fontId="29" fillId="0" borderId="0" xfId="0" applyNumberFormat="1" applyFont="1" applyAlignment="1" applyProtection="1">
      <alignment vertical="center"/>
      <protection hidden="1"/>
    </xf>
    <xf numFmtId="2" fontId="25" fillId="3" borderId="16" xfId="0" applyNumberFormat="1" applyFont="1" applyFill="1" applyBorder="1" applyAlignment="1" applyProtection="1">
      <alignment horizontal="center" vertical="center" wrapText="1"/>
      <protection hidden="1"/>
    </xf>
    <xf numFmtId="0" fontId="29" fillId="2" borderId="0" xfId="0" applyFont="1" applyFill="1" applyAlignment="1" applyProtection="1">
      <alignment horizontal="justify" vertical="center" wrapText="1"/>
      <protection hidden="1"/>
    </xf>
    <xf numFmtId="0" fontId="29" fillId="2" borderId="0" xfId="0" applyFont="1" applyFill="1" applyAlignment="1">
      <alignment horizontal="justify" vertical="center" wrapText="1"/>
    </xf>
    <xf numFmtId="0" fontId="7" fillId="9" borderId="35" xfId="0" applyFont="1" applyFill="1" applyBorder="1" applyAlignment="1" applyProtection="1">
      <alignment horizontal="center" vertical="center"/>
      <protection hidden="1"/>
    </xf>
    <xf numFmtId="191" fontId="7" fillId="9" borderId="35" xfId="0" applyNumberFormat="1" applyFont="1" applyFill="1" applyBorder="1" applyAlignment="1" applyProtection="1">
      <alignment horizontal="center" vertical="center"/>
      <protection hidden="1"/>
    </xf>
    <xf numFmtId="165" fontId="7" fillId="9" borderId="35" xfId="0" applyNumberFormat="1" applyFont="1" applyFill="1" applyBorder="1" applyAlignment="1" applyProtection="1">
      <alignment horizontal="center" vertical="center"/>
      <protection hidden="1"/>
    </xf>
    <xf numFmtId="2" fontId="16" fillId="19" borderId="47" xfId="2" applyNumberFormat="1" applyFont="1" applyFill="1" applyBorder="1" applyAlignment="1" applyProtection="1">
      <alignment horizontal="center" vertical="center" wrapText="1"/>
      <protection hidden="1"/>
    </xf>
    <xf numFmtId="169" fontId="9" fillId="19" borderId="4" xfId="0" applyNumberFormat="1" applyFont="1" applyFill="1" applyBorder="1" applyAlignment="1" applyProtection="1">
      <alignment horizontal="center" vertical="center"/>
      <protection hidden="1"/>
    </xf>
    <xf numFmtId="9" fontId="7" fillId="9" borderId="39" xfId="1" applyFont="1" applyFill="1" applyBorder="1" applyAlignment="1" applyProtection="1">
      <alignment horizontal="center" vertical="center"/>
      <protection hidden="1"/>
    </xf>
    <xf numFmtId="9" fontId="7" fillId="9" borderId="42" xfId="1" applyFont="1" applyFill="1" applyBorder="1" applyAlignment="1" applyProtection="1">
      <alignment horizontal="center" vertical="center"/>
      <protection hidden="1"/>
    </xf>
    <xf numFmtId="9" fontId="7" fillId="9" borderId="12" xfId="1" applyFont="1" applyFill="1" applyBorder="1" applyAlignment="1" applyProtection="1">
      <alignment horizontal="center" vertical="center"/>
      <protection hidden="1"/>
    </xf>
    <xf numFmtId="167" fontId="9" fillId="9" borderId="7" xfId="0" applyNumberFormat="1" applyFont="1" applyFill="1" applyBorder="1" applyAlignment="1" applyProtection="1">
      <alignment horizontal="center" vertical="center"/>
      <protection hidden="1"/>
    </xf>
    <xf numFmtId="167" fontId="9" fillId="9" borderId="8" xfId="0" applyNumberFormat="1" applyFont="1" applyFill="1" applyBorder="1" applyAlignment="1" applyProtection="1">
      <alignment horizontal="center" vertical="center"/>
      <protection hidden="1"/>
    </xf>
    <xf numFmtId="2" fontId="7" fillId="9" borderId="8" xfId="0" applyNumberFormat="1" applyFont="1" applyFill="1" applyBorder="1" applyAlignment="1" applyProtection="1">
      <alignment horizontal="center" vertical="center"/>
      <protection hidden="1"/>
    </xf>
    <xf numFmtId="9" fontId="7" fillId="9" borderId="35" xfId="1" applyFont="1" applyFill="1" applyBorder="1" applyAlignment="1" applyProtection="1">
      <alignment horizontal="center" vertical="center"/>
      <protection hidden="1"/>
    </xf>
    <xf numFmtId="171" fontId="8" fillId="9" borderId="64" xfId="0" applyNumberFormat="1" applyFont="1" applyFill="1" applyBorder="1" applyAlignment="1" applyProtection="1">
      <alignment horizontal="center" vertical="center" wrapText="1"/>
      <protection hidden="1"/>
    </xf>
    <xf numFmtId="171" fontId="13" fillId="9" borderId="5" xfId="0" applyNumberFormat="1" applyFont="1" applyFill="1" applyBorder="1" applyAlignment="1" applyProtection="1">
      <alignment horizontal="center" vertical="center"/>
      <protection hidden="1"/>
    </xf>
    <xf numFmtId="164" fontId="13" fillId="9" borderId="5" xfId="0" applyNumberFormat="1" applyFont="1" applyFill="1" applyBorder="1" applyAlignment="1" applyProtection="1">
      <alignment horizontal="center" vertical="center"/>
      <protection hidden="1"/>
    </xf>
    <xf numFmtId="1" fontId="8" fillId="9" borderId="5" xfId="0" applyNumberFormat="1" applyFont="1" applyFill="1" applyBorder="1" applyAlignment="1" applyProtection="1">
      <alignment horizontal="center" vertical="center" wrapText="1"/>
      <protection hidden="1"/>
    </xf>
    <xf numFmtId="164" fontId="8" fillId="9" borderId="5" xfId="0" applyNumberFormat="1" applyFont="1" applyFill="1" applyBorder="1" applyAlignment="1" applyProtection="1">
      <alignment horizontal="center" vertical="center" wrapText="1"/>
      <protection hidden="1"/>
    </xf>
    <xf numFmtId="171" fontId="8" fillId="9" borderId="3" xfId="0" applyNumberFormat="1" applyFont="1" applyFill="1" applyBorder="1" applyAlignment="1" applyProtection="1">
      <alignment horizontal="center" vertical="center" wrapText="1"/>
      <protection hidden="1"/>
    </xf>
    <xf numFmtId="164" fontId="13" fillId="9" borderId="1" xfId="0" applyNumberFormat="1" applyFont="1" applyFill="1" applyBorder="1" applyAlignment="1" applyProtection="1">
      <alignment horizontal="center" vertical="center"/>
      <protection hidden="1"/>
    </xf>
    <xf numFmtId="1" fontId="8" fillId="9" borderId="1" xfId="0" applyNumberFormat="1" applyFont="1" applyFill="1" applyBorder="1" applyAlignment="1" applyProtection="1">
      <alignment horizontal="center" vertical="center" wrapText="1"/>
      <protection hidden="1"/>
    </xf>
    <xf numFmtId="164" fontId="8" fillId="9" borderId="1" xfId="0" applyNumberFormat="1" applyFont="1" applyFill="1" applyBorder="1" applyAlignment="1" applyProtection="1">
      <alignment horizontal="center" vertical="center" wrapText="1"/>
      <protection hidden="1"/>
    </xf>
    <xf numFmtId="1" fontId="13" fillId="9" borderId="1" xfId="0" applyNumberFormat="1" applyFont="1" applyFill="1" applyBorder="1" applyAlignment="1" applyProtection="1">
      <alignment horizontal="center" vertical="center"/>
      <protection hidden="1"/>
    </xf>
    <xf numFmtId="2" fontId="13" fillId="9" borderId="1" xfId="0" applyNumberFormat="1" applyFont="1" applyFill="1" applyBorder="1" applyAlignment="1" applyProtection="1">
      <alignment horizontal="center" vertical="center"/>
      <protection hidden="1"/>
    </xf>
    <xf numFmtId="171" fontId="8" fillId="9" borderId="7" xfId="0" applyNumberFormat="1" applyFont="1" applyFill="1" applyBorder="1" applyAlignment="1" applyProtection="1">
      <alignment horizontal="center" vertical="center" wrapText="1"/>
      <protection hidden="1"/>
    </xf>
    <xf numFmtId="1" fontId="13" fillId="9" borderId="8" xfId="0" applyNumberFormat="1" applyFont="1" applyFill="1" applyBorder="1" applyAlignment="1" applyProtection="1">
      <alignment horizontal="center" vertical="center"/>
      <protection hidden="1"/>
    </xf>
    <xf numFmtId="2" fontId="13" fillId="9" borderId="8" xfId="0" applyNumberFormat="1" applyFont="1" applyFill="1" applyBorder="1" applyAlignment="1" applyProtection="1">
      <alignment horizontal="center" vertical="center"/>
      <protection hidden="1"/>
    </xf>
    <xf numFmtId="1" fontId="8" fillId="9" borderId="8" xfId="0" applyNumberFormat="1" applyFont="1" applyFill="1" applyBorder="1" applyAlignment="1" applyProtection="1">
      <alignment horizontal="center" vertical="center" wrapText="1"/>
      <protection hidden="1"/>
    </xf>
    <xf numFmtId="2" fontId="13" fillId="19" borderId="9" xfId="0" applyNumberFormat="1" applyFont="1" applyFill="1" applyBorder="1" applyAlignment="1" applyProtection="1">
      <alignment horizontal="center" vertical="center"/>
      <protection hidden="1"/>
    </xf>
    <xf numFmtId="2" fontId="13" fillId="19" borderId="11" xfId="0" applyNumberFormat="1" applyFont="1" applyFill="1" applyBorder="1" applyAlignment="1" applyProtection="1">
      <alignment horizontal="center" vertical="center"/>
      <protection hidden="1"/>
    </xf>
    <xf numFmtId="2" fontId="17" fillId="6" borderId="35" xfId="0" applyNumberFormat="1" applyFont="1" applyFill="1" applyBorder="1" applyAlignment="1" applyProtection="1">
      <alignment horizontal="center" vertical="center"/>
      <protection hidden="1"/>
    </xf>
    <xf numFmtId="171" fontId="17" fillId="6" borderId="16" xfId="0" applyNumberFormat="1" applyFont="1" applyFill="1" applyBorder="1" applyAlignment="1" applyProtection="1">
      <alignment horizontal="center" vertical="center"/>
      <protection hidden="1"/>
    </xf>
    <xf numFmtId="2" fontId="17" fillId="6" borderId="51" xfId="0" applyNumberFormat="1" applyFont="1" applyFill="1" applyBorder="1" applyAlignment="1" applyProtection="1">
      <alignment horizontal="center" vertical="center"/>
      <protection hidden="1"/>
    </xf>
    <xf numFmtId="2" fontId="17" fillId="6" borderId="54" xfId="0" applyNumberFormat="1" applyFont="1" applyFill="1" applyBorder="1" applyAlignment="1" applyProtection="1">
      <alignment horizontal="center" vertical="center" wrapText="1"/>
      <protection hidden="1"/>
    </xf>
    <xf numFmtId="2" fontId="17" fillId="6" borderId="26" xfId="0" applyNumberFormat="1" applyFont="1" applyFill="1" applyBorder="1" applyAlignment="1" applyProtection="1">
      <alignment vertical="center"/>
      <protection hidden="1"/>
    </xf>
    <xf numFmtId="2" fontId="7" fillId="6" borderId="26" xfId="0" applyNumberFormat="1" applyFont="1" applyFill="1" applyBorder="1" applyProtection="1">
      <protection hidden="1"/>
    </xf>
    <xf numFmtId="2" fontId="7" fillId="6" borderId="30" xfId="0" applyNumberFormat="1" applyFont="1" applyFill="1" applyBorder="1" applyAlignment="1" applyProtection="1">
      <alignment horizontal="centerContinuous"/>
      <protection hidden="1"/>
    </xf>
    <xf numFmtId="170" fontId="7" fillId="9" borderId="1" xfId="0" applyNumberFormat="1" applyFont="1" applyFill="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wrapText="1"/>
      <protection hidden="1"/>
    </xf>
    <xf numFmtId="170" fontId="7" fillId="9" borderId="1" xfId="0" applyNumberFormat="1" applyFont="1" applyFill="1" applyBorder="1" applyAlignment="1" applyProtection="1">
      <alignment horizontal="center" vertical="center" wrapText="1"/>
      <protection hidden="1"/>
    </xf>
    <xf numFmtId="1" fontId="7" fillId="9" borderId="1" xfId="1" applyNumberFormat="1" applyFont="1" applyFill="1" applyBorder="1" applyAlignment="1" applyProtection="1">
      <alignment horizontal="center" vertical="center" wrapText="1"/>
      <protection hidden="1"/>
    </xf>
    <xf numFmtId="1" fontId="7" fillId="9" borderId="2" xfId="1" applyNumberFormat="1" applyFont="1" applyFill="1" applyBorder="1" applyAlignment="1" applyProtection="1">
      <alignment horizontal="center" vertical="center" wrapText="1"/>
      <protection hidden="1"/>
    </xf>
    <xf numFmtId="170" fontId="7" fillId="9" borderId="70"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wrapText="1"/>
      <protection hidden="1"/>
    </xf>
    <xf numFmtId="170" fontId="7" fillId="9" borderId="8" xfId="0" applyNumberFormat="1" applyFont="1" applyFill="1" applyBorder="1" applyAlignment="1" applyProtection="1">
      <alignment horizontal="center" vertical="center" wrapText="1"/>
      <protection hidden="1"/>
    </xf>
    <xf numFmtId="1" fontId="7" fillId="9" borderId="8" xfId="0" applyNumberFormat="1" applyFont="1" applyFill="1" applyBorder="1" applyAlignment="1" applyProtection="1">
      <alignment horizontal="center" vertical="center"/>
      <protection hidden="1"/>
    </xf>
    <xf numFmtId="1" fontId="7" fillId="9" borderId="8" xfId="1" applyNumberFormat="1" applyFont="1" applyFill="1" applyBorder="1" applyAlignment="1" applyProtection="1">
      <alignment horizontal="center" vertical="center" wrapText="1"/>
      <protection hidden="1"/>
    </xf>
    <xf numFmtId="1" fontId="7" fillId="9" borderId="37" xfId="1" applyNumberFormat="1" applyFont="1" applyFill="1" applyBorder="1" applyAlignment="1" applyProtection="1">
      <alignment horizontal="center" vertical="center" wrapText="1"/>
      <protection hidden="1"/>
    </xf>
    <xf numFmtId="170" fontId="7" fillId="9" borderId="71" xfId="0" applyNumberFormat="1" applyFont="1" applyFill="1" applyBorder="1" applyAlignment="1" applyProtection="1">
      <alignment horizontal="center" vertical="center"/>
      <protection hidden="1"/>
    </xf>
    <xf numFmtId="171" fontId="7" fillId="9" borderId="5" xfId="0" applyNumberFormat="1" applyFont="1" applyFill="1" applyBorder="1" applyAlignment="1" applyProtection="1">
      <alignment horizontal="center" vertical="center"/>
      <protection hidden="1"/>
    </xf>
    <xf numFmtId="171" fontId="7" fillId="9" borderId="5" xfId="0" applyNumberFormat="1" applyFont="1" applyFill="1" applyBorder="1" applyAlignment="1" applyProtection="1">
      <alignment horizontal="center" vertical="center" wrapText="1"/>
      <protection hidden="1"/>
    </xf>
    <xf numFmtId="170" fontId="7" fillId="9" borderId="5" xfId="0" applyNumberFormat="1" applyFont="1" applyFill="1" applyBorder="1" applyAlignment="1" applyProtection="1">
      <alignment horizontal="center" vertical="center" wrapText="1"/>
      <protection hidden="1"/>
    </xf>
    <xf numFmtId="1" fontId="7" fillId="9" borderId="5" xfId="1" applyNumberFormat="1" applyFont="1" applyFill="1" applyBorder="1" applyAlignment="1" applyProtection="1">
      <alignment horizontal="center" vertical="center" wrapText="1"/>
      <protection hidden="1"/>
    </xf>
    <xf numFmtId="1" fontId="7" fillId="9" borderId="57" xfId="1" applyNumberFormat="1" applyFont="1" applyFill="1" applyBorder="1" applyAlignment="1" applyProtection="1">
      <alignment horizontal="center" vertical="center" wrapText="1"/>
      <protection hidden="1"/>
    </xf>
    <xf numFmtId="170" fontId="7" fillId="9" borderId="69" xfId="0" applyNumberFormat="1" applyFont="1" applyFill="1" applyBorder="1" applyAlignment="1" applyProtection="1">
      <alignment horizontal="center" vertical="center"/>
      <protection hidden="1"/>
    </xf>
    <xf numFmtId="2" fontId="45" fillId="9" borderId="9" xfId="0" applyNumberFormat="1" applyFont="1" applyFill="1" applyBorder="1" applyAlignment="1" applyProtection="1">
      <alignment horizontal="center" vertical="center"/>
      <protection hidden="1"/>
    </xf>
    <xf numFmtId="170" fontId="13" fillId="9" borderId="10" xfId="0" applyNumberFormat="1" applyFont="1" applyFill="1" applyBorder="1" applyAlignment="1" applyProtection="1">
      <alignment horizontal="center" vertical="center"/>
      <protection hidden="1"/>
    </xf>
    <xf numFmtId="170" fontId="13" fillId="9" borderId="11" xfId="0" applyNumberFormat="1" applyFont="1" applyFill="1" applyBorder="1" applyAlignment="1" applyProtection="1">
      <alignment horizontal="center" vertical="center"/>
      <protection hidden="1"/>
    </xf>
    <xf numFmtId="2" fontId="17" fillId="6" borderId="35" xfId="0" applyNumberFormat="1" applyFont="1" applyFill="1" applyBorder="1" applyAlignment="1" applyProtection="1">
      <alignment horizontal="center" vertical="center" wrapText="1"/>
      <protection hidden="1"/>
    </xf>
    <xf numFmtId="0" fontId="29" fillId="0" borderId="0" xfId="0" applyFont="1" applyBorder="1" applyAlignment="1" applyProtection="1">
      <alignment vertical="center" wrapText="1"/>
      <protection locked="0" hidden="1"/>
    </xf>
    <xf numFmtId="0" fontId="29" fillId="2" borderId="0" xfId="0" applyFont="1" applyFill="1" applyProtection="1">
      <protection hidden="1"/>
    </xf>
    <xf numFmtId="2" fontId="26" fillId="2" borderId="35" xfId="0" applyNumberFormat="1" applyFont="1" applyFill="1" applyBorder="1" applyAlignment="1" applyProtection="1">
      <alignment horizontal="center" vertical="center" wrapText="1"/>
      <protection hidden="1"/>
    </xf>
    <xf numFmtId="2" fontId="26" fillId="2" borderId="35" xfId="0" applyNumberFormat="1" applyFont="1" applyFill="1" applyBorder="1" applyAlignment="1" applyProtection="1">
      <alignment vertical="center" wrapText="1"/>
      <protection hidden="1"/>
    </xf>
    <xf numFmtId="171" fontId="26" fillId="2" borderId="14" xfId="0" applyNumberFormat="1" applyFont="1" applyFill="1" applyBorder="1" applyAlignment="1" applyProtection="1">
      <alignment horizontal="center" vertical="center" wrapText="1"/>
      <protection hidden="1"/>
    </xf>
    <xf numFmtId="171" fontId="26" fillId="2" borderId="9" xfId="0" applyNumberFormat="1" applyFont="1" applyFill="1" applyBorder="1" applyAlignment="1" applyProtection="1">
      <alignment horizontal="center" vertical="center"/>
      <protection hidden="1"/>
    </xf>
    <xf numFmtId="171" fontId="26" fillId="2" borderId="21" xfId="0" applyNumberFormat="1" applyFont="1" applyFill="1" applyBorder="1" applyAlignment="1" applyProtection="1">
      <alignment horizontal="center" vertical="center" wrapText="1"/>
      <protection hidden="1"/>
    </xf>
    <xf numFmtId="171" fontId="26" fillId="2" borderId="35" xfId="0" applyNumberFormat="1" applyFont="1" applyFill="1" applyBorder="1" applyAlignment="1" applyProtection="1">
      <alignment horizontal="center" vertical="center" wrapText="1"/>
      <protection hidden="1"/>
    </xf>
    <xf numFmtId="181" fontId="47" fillId="0" borderId="0" xfId="0" applyNumberFormat="1" applyFont="1" applyBorder="1" applyAlignment="1" applyProtection="1">
      <alignment horizontal="center" vertical="center" wrapText="1"/>
      <protection hidden="1"/>
    </xf>
    <xf numFmtId="171" fontId="9" fillId="2" borderId="20" xfId="0" applyNumberFormat="1" applyFont="1" applyFill="1" applyBorder="1" applyAlignment="1" applyProtection="1">
      <alignment horizontal="center" vertical="center"/>
      <protection hidden="1"/>
    </xf>
    <xf numFmtId="164" fontId="9" fillId="2" borderId="44" xfId="0" applyNumberFormat="1" applyFont="1" applyFill="1" applyBorder="1" applyAlignment="1" applyProtection="1">
      <alignment horizontal="center" vertical="center"/>
      <protection hidden="1"/>
    </xf>
    <xf numFmtId="186" fontId="9" fillId="0" borderId="1" xfId="0" applyNumberFormat="1" applyFont="1" applyBorder="1" applyAlignment="1" applyProtection="1">
      <alignment horizontal="center" vertical="center" wrapText="1"/>
      <protection hidden="1"/>
    </xf>
    <xf numFmtId="164" fontId="9" fillId="2" borderId="42" xfId="0" applyNumberFormat="1" applyFont="1" applyFill="1" applyBorder="1" applyAlignment="1" applyProtection="1">
      <alignment horizontal="center" vertical="center"/>
      <protection hidden="1"/>
    </xf>
    <xf numFmtId="2" fontId="9" fillId="2" borderId="42" xfId="0" applyNumberFormat="1" applyFont="1" applyFill="1" applyBorder="1" applyAlignment="1" applyProtection="1">
      <alignment horizontal="center" vertical="center"/>
      <protection hidden="1"/>
    </xf>
    <xf numFmtId="186" fontId="9" fillId="0" borderId="8" xfId="0" applyNumberFormat="1" applyFont="1" applyBorder="1" applyAlignment="1" applyProtection="1">
      <alignment horizontal="center" vertical="center" wrapText="1"/>
      <protection hidden="1"/>
    </xf>
    <xf numFmtId="2" fontId="9" fillId="2" borderId="12" xfId="0" applyNumberFormat="1" applyFont="1" applyFill="1" applyBorder="1" applyAlignment="1" applyProtection="1">
      <alignment horizontal="center" vertical="center"/>
      <protection hidden="1"/>
    </xf>
    <xf numFmtId="0" fontId="8" fillId="2" borderId="35" xfId="0" applyFont="1" applyFill="1" applyBorder="1" applyAlignment="1" applyProtection="1">
      <alignment horizontal="center" vertical="center" wrapText="1"/>
      <protection hidden="1"/>
    </xf>
    <xf numFmtId="0" fontId="8" fillId="0" borderId="35" xfId="0" applyFont="1" applyFill="1" applyBorder="1" applyAlignment="1" applyProtection="1">
      <alignment horizontal="center" vertical="center" wrapText="1"/>
      <protection hidden="1"/>
    </xf>
    <xf numFmtId="164" fontId="9" fillId="0" borderId="18" xfId="0" applyNumberFormat="1" applyFont="1" applyFill="1" applyBorder="1" applyAlignment="1" applyProtection="1">
      <alignment horizontal="center" vertical="center" wrapText="1"/>
      <protection hidden="1"/>
    </xf>
    <xf numFmtId="164" fontId="9" fillId="0" borderId="17" xfId="0" applyNumberFormat="1" applyFont="1" applyFill="1" applyBorder="1" applyAlignment="1" applyProtection="1">
      <alignment horizontal="center" vertical="center" wrapText="1"/>
      <protection hidden="1"/>
    </xf>
    <xf numFmtId="0" fontId="9" fillId="0" borderId="78" xfId="0" applyFont="1" applyFill="1" applyBorder="1" applyAlignment="1" applyProtection="1">
      <alignment horizontal="center" vertical="center"/>
      <protection hidden="1"/>
    </xf>
    <xf numFmtId="164" fontId="9" fillId="0" borderId="3" xfId="0" applyNumberFormat="1" applyFont="1" applyFill="1" applyBorder="1" applyAlignment="1" applyProtection="1">
      <alignment horizontal="center" vertical="center" wrapText="1"/>
      <protection hidden="1"/>
    </xf>
    <xf numFmtId="164" fontId="9" fillId="0" borderId="2" xfId="0" applyNumberFormat="1" applyFont="1" applyFill="1" applyBorder="1" applyAlignment="1" applyProtection="1">
      <alignment horizontal="center" vertical="center" wrapText="1"/>
      <protection hidden="1"/>
    </xf>
    <xf numFmtId="0" fontId="9" fillId="0" borderId="70" xfId="0" applyFont="1" applyFill="1" applyBorder="1" applyAlignment="1" applyProtection="1">
      <alignment horizontal="center" vertical="center"/>
      <protection hidden="1"/>
    </xf>
    <xf numFmtId="2" fontId="9" fillId="0" borderId="3" xfId="0" applyNumberFormat="1" applyFont="1" applyFill="1" applyBorder="1" applyAlignment="1" applyProtection="1">
      <alignment horizontal="center" vertical="center" wrapText="1"/>
      <protection hidden="1"/>
    </xf>
    <xf numFmtId="2" fontId="9" fillId="0" borderId="2" xfId="0" applyNumberFormat="1" applyFont="1" applyFill="1" applyBorder="1" applyAlignment="1" applyProtection="1">
      <alignment horizontal="center" vertical="center" wrapText="1"/>
      <protection hidden="1"/>
    </xf>
    <xf numFmtId="2" fontId="9" fillId="0" borderId="13" xfId="0" applyNumberFormat="1" applyFont="1" applyFill="1" applyBorder="1" applyAlignment="1" applyProtection="1">
      <alignment horizontal="center" vertical="center" wrapText="1"/>
      <protection hidden="1"/>
    </xf>
    <xf numFmtId="2" fontId="9" fillId="0" borderId="37" xfId="0" applyNumberFormat="1" applyFont="1" applyFill="1" applyBorder="1" applyAlignment="1" applyProtection="1">
      <alignment horizontal="center" vertical="center" wrapText="1"/>
      <protection hidden="1"/>
    </xf>
    <xf numFmtId="0" fontId="9" fillId="0" borderId="71" xfId="0" applyFont="1" applyFill="1" applyBorder="1" applyAlignment="1" applyProtection="1">
      <alignment horizontal="center" vertical="center"/>
      <protection hidden="1"/>
    </xf>
    <xf numFmtId="2" fontId="8" fillId="2" borderId="11" xfId="0" applyNumberFormat="1" applyFont="1" applyFill="1" applyBorder="1" applyAlignment="1" applyProtection="1">
      <alignment horizontal="center" vertical="center" wrapText="1"/>
      <protection hidden="1"/>
    </xf>
    <xf numFmtId="2" fontId="16" fillId="2" borderId="10" xfId="0" applyNumberFormat="1" applyFont="1" applyFill="1" applyBorder="1" applyAlignment="1" applyProtection="1">
      <alignment horizontal="center" vertical="center" wrapText="1"/>
      <protection hidden="1"/>
    </xf>
    <xf numFmtId="2" fontId="16" fillId="2" borderId="11" xfId="0" applyNumberFormat="1" applyFont="1" applyFill="1" applyBorder="1" applyAlignment="1" applyProtection="1">
      <alignment horizontal="center" vertical="center" wrapText="1"/>
      <protection hidden="1"/>
    </xf>
    <xf numFmtId="2" fontId="28" fillId="2" borderId="20" xfId="0" applyNumberFormat="1" applyFont="1" applyFill="1" applyBorder="1" applyAlignment="1" applyProtection="1">
      <alignment horizontal="center" vertical="center" wrapText="1"/>
      <protection hidden="1"/>
    </xf>
    <xf numFmtId="1" fontId="28" fillId="2" borderId="44" xfId="0" applyNumberFormat="1" applyFont="1" applyFill="1" applyBorder="1" applyAlignment="1" applyProtection="1">
      <alignment horizontal="center" vertical="center" wrapText="1"/>
      <protection hidden="1"/>
    </xf>
    <xf numFmtId="195" fontId="28" fillId="2" borderId="8" xfId="0" applyNumberFormat="1" applyFont="1" applyFill="1" applyBorder="1" applyAlignment="1" applyProtection="1">
      <alignment horizontal="center" vertical="center" wrapText="1"/>
      <protection hidden="1"/>
    </xf>
    <xf numFmtId="1" fontId="28" fillId="2" borderId="12" xfId="0" applyNumberFormat="1" applyFont="1" applyFill="1" applyBorder="1" applyAlignment="1" applyProtection="1">
      <alignment horizontal="center" vertical="center" wrapText="1"/>
      <protection hidden="1"/>
    </xf>
    <xf numFmtId="187" fontId="8" fillId="2" borderId="16" xfId="0" applyNumberFormat="1" applyFont="1" applyFill="1" applyBorder="1" applyAlignment="1" applyProtection="1">
      <alignment horizontal="center" vertical="center" wrapText="1"/>
      <protection hidden="1"/>
    </xf>
    <xf numFmtId="0" fontId="8" fillId="0" borderId="33" xfId="0" applyFont="1" applyBorder="1" applyAlignment="1" applyProtection="1">
      <alignment horizontal="center" vertical="center" wrapText="1"/>
      <protection hidden="1"/>
    </xf>
    <xf numFmtId="186" fontId="9" fillId="0" borderId="5" xfId="0" applyNumberFormat="1" applyFont="1" applyBorder="1" applyAlignment="1" applyProtection="1">
      <alignment horizontal="center" vertical="center" wrapText="1"/>
      <protection hidden="1"/>
    </xf>
    <xf numFmtId="186" fontId="9" fillId="0" borderId="39" xfId="0" applyNumberFormat="1" applyFont="1" applyBorder="1" applyAlignment="1" applyProtection="1">
      <alignment horizontal="center" vertical="center" wrapText="1"/>
      <protection hidden="1"/>
    </xf>
    <xf numFmtId="186" fontId="9" fillId="0" borderId="42" xfId="0" applyNumberFormat="1" applyFont="1" applyBorder="1" applyAlignment="1" applyProtection="1">
      <alignment horizontal="center" vertical="center" wrapText="1"/>
      <protection hidden="1"/>
    </xf>
    <xf numFmtId="186" fontId="9" fillId="0" borderId="12" xfId="0" applyNumberFormat="1" applyFont="1" applyBorder="1" applyAlignment="1" applyProtection="1">
      <alignment horizontal="center" vertical="center" wrapText="1"/>
      <protection hidden="1"/>
    </xf>
    <xf numFmtId="0" fontId="29" fillId="2" borderId="0" xfId="0" applyFont="1" applyFill="1" applyBorder="1" applyAlignment="1" applyProtection="1">
      <alignment vertical="center" wrapText="1"/>
      <protection locked="0" hidden="1"/>
    </xf>
    <xf numFmtId="0" fontId="29" fillId="2" borderId="0" xfId="0" applyFont="1" applyFill="1" applyAlignment="1" applyProtection="1">
      <alignment horizontal="left" vertical="justify" wrapText="1"/>
      <protection hidden="1"/>
    </xf>
    <xf numFmtId="2" fontId="8" fillId="2" borderId="9" xfId="0" applyNumberFormat="1" applyFont="1" applyFill="1" applyBorder="1" applyAlignment="1" applyProtection="1">
      <alignment horizontal="center" vertical="center" wrapText="1"/>
      <protection hidden="1"/>
    </xf>
    <xf numFmtId="170" fontId="9" fillId="2" borderId="10" xfId="0" applyNumberFormat="1" applyFont="1" applyFill="1" applyBorder="1" applyAlignment="1" applyProtection="1">
      <alignment horizontal="center" vertical="center"/>
      <protection hidden="1"/>
    </xf>
    <xf numFmtId="170" fontId="29" fillId="2" borderId="0" xfId="0" applyNumberFormat="1" applyFont="1" applyFill="1" applyAlignment="1" applyProtection="1">
      <alignment vertical="justify" wrapText="1"/>
      <protection hidden="1"/>
    </xf>
    <xf numFmtId="0" fontId="29" fillId="2" borderId="0" xfId="0" applyFont="1" applyFill="1" applyAlignment="1" applyProtection="1">
      <alignment vertical="justify" wrapText="1"/>
      <protection hidden="1"/>
    </xf>
    <xf numFmtId="0" fontId="29" fillId="2" borderId="40" xfId="0" applyFont="1" applyFill="1" applyBorder="1" applyAlignment="1" applyProtection="1">
      <alignment vertical="justify" wrapText="1"/>
      <protection hidden="1"/>
    </xf>
    <xf numFmtId="0" fontId="26" fillId="2" borderId="0" xfId="0" applyFont="1" applyFill="1" applyBorder="1" applyAlignment="1" applyProtection="1">
      <alignment horizontal="center" vertical="center" wrapText="1"/>
      <protection hidden="1"/>
    </xf>
    <xf numFmtId="0" fontId="26" fillId="2" borderId="15" xfId="0" applyFont="1" applyFill="1" applyBorder="1" applyAlignment="1" applyProtection="1">
      <alignment horizontal="center" vertical="center" wrapText="1"/>
      <protection hidden="1"/>
    </xf>
    <xf numFmtId="170" fontId="26" fillId="2" borderId="15" xfId="0" applyNumberFormat="1" applyFont="1" applyFill="1" applyBorder="1" applyAlignment="1" applyProtection="1">
      <alignment horizontal="center" vertical="center" wrapText="1"/>
      <protection hidden="1"/>
    </xf>
    <xf numFmtId="170" fontId="26" fillId="2" borderId="16" xfId="0" applyNumberFormat="1" applyFont="1" applyFill="1" applyBorder="1" applyAlignment="1" applyProtection="1">
      <alignment horizontal="left" vertical="center" wrapText="1"/>
      <protection hidden="1"/>
    </xf>
    <xf numFmtId="170" fontId="29" fillId="2" borderId="0" xfId="0" applyNumberFormat="1" applyFont="1" applyFill="1" applyBorder="1" applyAlignment="1" applyProtection="1">
      <alignment horizontal="left" vertical="center" wrapText="1"/>
      <protection hidden="1"/>
    </xf>
    <xf numFmtId="0" fontId="26" fillId="2" borderId="0" xfId="0" applyFont="1" applyFill="1" applyAlignment="1" applyProtection="1">
      <alignment horizontal="left" vertical="center"/>
      <protection hidden="1"/>
    </xf>
    <xf numFmtId="0" fontId="41" fillId="2" borderId="0" xfId="0" applyFont="1" applyFill="1" applyAlignment="1" applyProtection="1">
      <alignment horizontal="left" vertical="center"/>
      <protection hidden="1"/>
    </xf>
    <xf numFmtId="2" fontId="35" fillId="2" borderId="35" xfId="0" applyNumberFormat="1" applyFont="1" applyFill="1" applyBorder="1" applyAlignment="1" applyProtection="1">
      <alignment horizontal="center" vertical="center" wrapText="1"/>
      <protection hidden="1"/>
    </xf>
    <xf numFmtId="181" fontId="0" fillId="0" borderId="41" xfId="0" applyNumberFormat="1" applyBorder="1" applyAlignment="1">
      <alignment horizontal="center"/>
    </xf>
    <xf numFmtId="181" fontId="0" fillId="0" borderId="7" xfId="0" applyNumberFormat="1" applyBorder="1" applyAlignment="1">
      <alignment horizontal="center"/>
    </xf>
    <xf numFmtId="0" fontId="26" fillId="0" borderId="35" xfId="0" applyFont="1" applyFill="1" applyBorder="1" applyAlignment="1">
      <alignment horizontal="center" vertical="center"/>
    </xf>
    <xf numFmtId="0" fontId="45" fillId="0" borderId="48" xfId="0" applyFont="1" applyBorder="1" applyAlignment="1">
      <alignment horizontal="center" vertical="center"/>
    </xf>
    <xf numFmtId="0" fontId="45" fillId="0" borderId="49" xfId="0" applyFont="1" applyBorder="1" applyAlignment="1">
      <alignment horizontal="center" vertical="center"/>
    </xf>
    <xf numFmtId="2" fontId="45" fillId="0" borderId="50" xfId="0" applyNumberFormat="1" applyFont="1" applyBorder="1" applyAlignment="1">
      <alignment horizontal="center" vertical="center"/>
    </xf>
    <xf numFmtId="0" fontId="45" fillId="0" borderId="9"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25" borderId="69" xfId="0" applyFont="1" applyFill="1" applyBorder="1" applyAlignment="1">
      <alignment horizontal="center" vertical="center" wrapText="1"/>
    </xf>
    <xf numFmtId="0" fontId="45" fillId="25" borderId="79" xfId="0" applyFont="1" applyFill="1" applyBorder="1" applyAlignment="1">
      <alignment horizontal="center" vertical="center" wrapText="1"/>
    </xf>
    <xf numFmtId="0" fontId="45" fillId="25" borderId="71" xfId="0" applyFont="1" applyFill="1" applyBorder="1" applyAlignment="1">
      <alignment horizontal="center" vertical="center" wrapText="1"/>
    </xf>
    <xf numFmtId="171" fontId="45" fillId="7" borderId="64" xfId="0" applyNumberFormat="1" applyFont="1" applyFill="1" applyBorder="1" applyAlignment="1" applyProtection="1">
      <alignment horizontal="center" vertical="center" wrapText="1"/>
      <protection locked="0"/>
    </xf>
    <xf numFmtId="171" fontId="45" fillId="7" borderId="5" xfId="0" applyNumberFormat="1" applyFont="1" applyFill="1" applyBorder="1" applyAlignment="1" applyProtection="1">
      <alignment horizontal="center" vertical="center" wrapText="1"/>
      <protection locked="0"/>
    </xf>
    <xf numFmtId="171" fontId="45" fillId="7" borderId="39" xfId="0" applyNumberFormat="1" applyFont="1" applyFill="1" applyBorder="1" applyAlignment="1" applyProtection="1">
      <alignment horizontal="center" vertical="center" wrapText="1"/>
      <protection locked="0"/>
    </xf>
    <xf numFmtId="0" fontId="26" fillId="0" borderId="40" xfId="0" applyFont="1" applyFill="1" applyBorder="1" applyAlignment="1">
      <alignment horizontal="center" vertical="center"/>
    </xf>
    <xf numFmtId="2" fontId="14" fillId="0" borderId="0" xfId="0" applyNumberFormat="1" applyFont="1" applyFill="1" applyBorder="1" applyProtection="1">
      <protection hidden="1"/>
    </xf>
    <xf numFmtId="0" fontId="41" fillId="6" borderId="57" xfId="0" applyFont="1" applyFill="1" applyBorder="1" applyAlignment="1" applyProtection="1">
      <alignment horizontal="center" vertical="center" wrapText="1"/>
      <protection hidden="1"/>
    </xf>
    <xf numFmtId="0" fontId="41" fillId="6" borderId="37" xfId="0" applyFont="1" applyFill="1" applyBorder="1" applyAlignment="1" applyProtection="1">
      <alignment horizontal="center" vertical="center" wrapText="1"/>
      <protection hidden="1"/>
    </xf>
    <xf numFmtId="2" fontId="14" fillId="0" borderId="0" xfId="0" applyNumberFormat="1" applyFont="1" applyBorder="1" applyProtection="1">
      <protection hidden="1"/>
    </xf>
    <xf numFmtId="0" fontId="14" fillId="0" borderId="0" xfId="0" applyFont="1" applyBorder="1" applyProtection="1">
      <protection hidden="1"/>
    </xf>
    <xf numFmtId="2" fontId="14" fillId="0" borderId="0" xfId="0" applyNumberFormat="1" applyFont="1" applyBorder="1" applyAlignment="1" applyProtection="1">
      <alignment vertical="center"/>
      <protection hidden="1"/>
    </xf>
    <xf numFmtId="2" fontId="65" fillId="2" borderId="0" xfId="0" applyNumberFormat="1" applyFont="1" applyFill="1" applyBorder="1" applyAlignment="1" applyProtection="1">
      <alignment horizontal="center" vertical="center"/>
      <protection hidden="1"/>
    </xf>
    <xf numFmtId="1" fontId="65" fillId="2" borderId="0" xfId="0" applyNumberFormat="1" applyFont="1" applyFill="1" applyBorder="1" applyAlignment="1" applyProtection="1">
      <alignment horizontal="center" vertical="center"/>
      <protection hidden="1"/>
    </xf>
    <xf numFmtId="1" fontId="66" fillId="19" borderId="0" xfId="0" applyNumberFormat="1" applyFont="1" applyFill="1" applyBorder="1" applyAlignment="1" applyProtection="1">
      <alignment horizontal="center" vertical="center"/>
      <protection hidden="1"/>
    </xf>
    <xf numFmtId="2" fontId="66" fillId="19" borderId="0" xfId="0" applyNumberFormat="1" applyFont="1" applyFill="1" applyBorder="1" applyAlignment="1" applyProtection="1">
      <alignment horizontal="center" vertical="center"/>
      <protection hidden="1"/>
    </xf>
    <xf numFmtId="2" fontId="66" fillId="2" borderId="0" xfId="0" applyNumberFormat="1" applyFont="1" applyFill="1" applyBorder="1" applyAlignment="1" applyProtection="1">
      <alignment horizontal="center" vertical="center"/>
      <protection hidden="1"/>
    </xf>
    <xf numFmtId="171" fontId="65" fillId="2" borderId="0" xfId="0" applyNumberFormat="1" applyFont="1" applyFill="1" applyBorder="1" applyAlignment="1" applyProtection="1">
      <alignment horizontal="center" vertical="center"/>
      <protection hidden="1"/>
    </xf>
    <xf numFmtId="169" fontId="65" fillId="2" borderId="0" xfId="0" applyNumberFormat="1" applyFont="1" applyFill="1" applyBorder="1" applyAlignment="1" applyProtection="1">
      <alignment horizontal="center" vertical="center"/>
      <protection hidden="1"/>
    </xf>
    <xf numFmtId="1" fontId="68" fillId="19" borderId="0" xfId="0" applyNumberFormat="1" applyFont="1" applyFill="1" applyBorder="1" applyAlignment="1" applyProtection="1">
      <alignment horizontal="center" vertical="center"/>
      <protection hidden="1"/>
    </xf>
    <xf numFmtId="2" fontId="66" fillId="0" borderId="0" xfId="0" applyNumberFormat="1" applyFont="1" applyBorder="1" applyAlignment="1" applyProtection="1">
      <alignment vertical="center"/>
      <protection hidden="1"/>
    </xf>
    <xf numFmtId="2" fontId="65" fillId="0" borderId="0" xfId="0" applyNumberFormat="1" applyFont="1" applyBorder="1" applyAlignment="1" applyProtection="1">
      <alignment horizontal="center" vertical="center"/>
      <protection hidden="1"/>
    </xf>
    <xf numFmtId="0" fontId="47" fillId="2" borderId="0" xfId="0" applyFont="1" applyFill="1" applyAlignment="1" applyProtection="1">
      <alignment horizontal="center" vertical="center"/>
      <protection hidden="1"/>
    </xf>
    <xf numFmtId="0" fontId="47" fillId="2" borderId="0" xfId="0" applyFont="1" applyFill="1" applyAlignment="1" applyProtection="1">
      <alignment horizontal="center" vertical="center"/>
      <protection locked="0" hidden="1"/>
    </xf>
    <xf numFmtId="0" fontId="47" fillId="2" borderId="0" xfId="0" applyFont="1" applyFill="1" applyAlignment="1" applyProtection="1">
      <alignment horizontal="center" vertical="center" wrapText="1"/>
      <protection locked="0" hidden="1"/>
    </xf>
    <xf numFmtId="2" fontId="29" fillId="13" borderId="0" xfId="3" applyFont="1" applyBorder="1" applyAlignment="1" applyProtection="1">
      <alignment horizontal="center" vertical="center" wrapText="1"/>
      <protection hidden="1"/>
    </xf>
    <xf numFmtId="2" fontId="8" fillId="2" borderId="16" xfId="0" applyNumberFormat="1" applyFont="1" applyFill="1" applyBorder="1" applyAlignment="1" applyProtection="1">
      <alignment horizontal="center" vertical="center" wrapText="1"/>
      <protection hidden="1"/>
    </xf>
    <xf numFmtId="171" fontId="9" fillId="2" borderId="18" xfId="0" applyNumberFormat="1" applyFont="1" applyFill="1" applyBorder="1" applyAlignment="1" applyProtection="1">
      <alignment horizontal="center" vertical="center"/>
      <protection hidden="1"/>
    </xf>
    <xf numFmtId="186" fontId="9" fillId="0" borderId="3" xfId="0" applyNumberFormat="1" applyFont="1" applyBorder="1" applyAlignment="1" applyProtection="1">
      <alignment horizontal="center" vertical="center" wrapText="1"/>
      <protection hidden="1"/>
    </xf>
    <xf numFmtId="186" fontId="9" fillId="0" borderId="13" xfId="0" applyNumberFormat="1" applyFont="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170" fontId="13" fillId="9" borderId="57" xfId="0" applyNumberFormat="1" applyFont="1" applyFill="1" applyBorder="1" applyAlignment="1" applyProtection="1">
      <alignment horizontal="center" vertical="center"/>
      <protection hidden="1"/>
    </xf>
    <xf numFmtId="170" fontId="13" fillId="9" borderId="2" xfId="0" applyNumberFormat="1" applyFont="1" applyFill="1" applyBorder="1" applyAlignment="1" applyProtection="1">
      <alignment horizontal="center" vertical="center"/>
      <protection hidden="1"/>
    </xf>
    <xf numFmtId="170" fontId="13" fillId="9" borderId="37" xfId="0" applyNumberFormat="1" applyFont="1" applyFill="1" applyBorder="1" applyAlignment="1" applyProtection="1">
      <alignment horizontal="center" vertical="center"/>
      <protection hidden="1"/>
    </xf>
    <xf numFmtId="170" fontId="7" fillId="6" borderId="33" xfId="0" applyNumberFormat="1" applyFont="1" applyFill="1" applyBorder="1" applyAlignment="1" applyProtection="1">
      <alignment horizontal="right"/>
      <protection hidden="1"/>
    </xf>
    <xf numFmtId="2" fontId="26" fillId="2" borderId="15" xfId="0" applyNumberFormat="1" applyFont="1" applyFill="1" applyBorder="1" applyAlignment="1" applyProtection="1">
      <alignment horizontal="center" vertical="center" wrapText="1"/>
      <protection hidden="1"/>
    </xf>
    <xf numFmtId="2" fontId="8" fillId="2" borderId="35" xfId="0" applyNumberFormat="1" applyFont="1" applyFill="1" applyBorder="1" applyAlignment="1" applyProtection="1">
      <alignment horizontal="center"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29" fillId="0" borderId="0" xfId="0" applyFont="1" applyAlignment="1" applyProtection="1">
      <alignment horizontal="center"/>
      <protection hidden="1"/>
    </xf>
    <xf numFmtId="0" fontId="29" fillId="0" borderId="0" xfId="0" applyFont="1" applyAlignment="1" applyProtection="1">
      <alignment horizontal="center" vertical="justify" wrapText="1"/>
      <protection hidden="1"/>
    </xf>
    <xf numFmtId="0" fontId="29" fillId="2" borderId="0" xfId="0" applyFont="1" applyFill="1" applyBorder="1" applyAlignment="1" applyProtection="1">
      <alignment horizontal="left" vertical="center" wrapText="1"/>
      <protection hidden="1"/>
    </xf>
    <xf numFmtId="0" fontId="26" fillId="2" borderId="0" xfId="0" applyFont="1" applyFill="1" applyBorder="1" applyAlignment="1" applyProtection="1">
      <alignment horizontal="left" vertical="center" wrapText="1"/>
      <protection hidden="1"/>
    </xf>
    <xf numFmtId="0" fontId="29" fillId="2" borderId="0" xfId="0" applyFont="1" applyFill="1" applyBorder="1" applyAlignment="1" applyProtection="1">
      <alignment horizontal="justify" vertical="center" wrapText="1"/>
      <protection hidden="1"/>
    </xf>
    <xf numFmtId="0" fontId="29" fillId="0" borderId="0" xfId="0" applyFont="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2" fontId="26" fillId="0" borderId="16" xfId="0" applyNumberFormat="1" applyFont="1" applyBorder="1" applyAlignment="1" applyProtection="1">
      <alignment horizontal="center" vertical="center" wrapText="1"/>
      <protection hidden="1"/>
    </xf>
    <xf numFmtId="0" fontId="29" fillId="2" borderId="0" xfId="0" applyFont="1" applyFill="1" applyBorder="1" applyAlignment="1" applyProtection="1">
      <alignment horizontal="right" vertical="center" wrapText="1"/>
      <protection hidden="1"/>
    </xf>
    <xf numFmtId="14" fontId="29" fillId="2" borderId="0" xfId="0" applyNumberFormat="1"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wrapText="1"/>
      <protection hidden="1"/>
    </xf>
    <xf numFmtId="0" fontId="26" fillId="0" borderId="0" xfId="0" applyFont="1" applyAlignment="1" applyProtection="1">
      <alignment horizontal="center" vertical="center" wrapText="1"/>
      <protection hidden="1"/>
    </xf>
    <xf numFmtId="169" fontId="29" fillId="0" borderId="0" xfId="0" applyNumberFormat="1" applyFont="1" applyBorder="1" applyAlignment="1" applyProtection="1">
      <alignment horizontal="center" vertical="center" wrapText="1"/>
      <protection hidden="1"/>
    </xf>
    <xf numFmtId="0" fontId="29" fillId="2" borderId="0" xfId="0" applyFont="1" applyFill="1" applyAlignment="1" applyProtection="1">
      <alignment horizontal="justify" vertical="center" wrapText="1"/>
      <protection locked="0" hidden="1"/>
    </xf>
    <xf numFmtId="0" fontId="29" fillId="0" borderId="0" xfId="0" applyFont="1" applyBorder="1" applyAlignment="1" applyProtection="1">
      <alignment horizontal="center"/>
      <protection hidden="1"/>
    </xf>
    <xf numFmtId="0" fontId="29" fillId="0" borderId="0" xfId="0" applyFont="1" applyAlignment="1" applyProtection="1">
      <alignment horizontal="center" vertical="center" wrapText="1"/>
      <protection hidden="1"/>
    </xf>
    <xf numFmtId="0" fontId="29" fillId="2" borderId="0" xfId="0" applyFont="1" applyFill="1" applyAlignment="1" applyProtection="1">
      <alignment horizontal="justify" vertical="center" wrapText="1"/>
      <protection locked="0" hidden="1"/>
    </xf>
    <xf numFmtId="0" fontId="29" fillId="0" borderId="0" xfId="0" applyFont="1" applyBorder="1" applyAlignment="1" applyProtection="1">
      <alignment horizontal="center"/>
      <protection hidden="1"/>
    </xf>
    <xf numFmtId="0" fontId="29" fillId="0" borderId="0" xfId="0" applyFont="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169" fontId="29" fillId="0" borderId="0" xfId="0" applyNumberFormat="1" applyFont="1" applyBorder="1" applyAlignment="1" applyProtection="1">
      <alignment horizontal="center" vertical="center" wrapText="1"/>
      <protection hidden="1"/>
    </xf>
    <xf numFmtId="2" fontId="26" fillId="2" borderId="15" xfId="0" applyNumberFormat="1" applyFont="1" applyFill="1" applyBorder="1" applyAlignment="1" applyProtection="1">
      <alignment horizontal="center" vertical="center" wrapText="1"/>
      <protection hidden="1"/>
    </xf>
    <xf numFmtId="0" fontId="26" fillId="2" borderId="0" xfId="0" applyFont="1" applyFill="1" applyBorder="1" applyAlignment="1" applyProtection="1">
      <alignment horizontal="left" vertical="center" wrapText="1"/>
      <protection hidden="1"/>
    </xf>
    <xf numFmtId="0" fontId="29" fillId="0" borderId="0" xfId="0" applyFont="1" applyAlignment="1" applyProtection="1">
      <alignment horizontal="center"/>
      <protection hidden="1"/>
    </xf>
    <xf numFmtId="2" fontId="8" fillId="2" borderId="35" xfId="0" applyNumberFormat="1" applyFont="1" applyFill="1" applyBorder="1" applyAlignment="1" applyProtection="1">
      <alignment horizontal="center" vertical="center" wrapText="1"/>
      <protection hidden="1"/>
    </xf>
    <xf numFmtId="0" fontId="47" fillId="2" borderId="0" xfId="0" applyFont="1" applyFill="1" applyAlignment="1" applyProtection="1">
      <alignment horizontal="justify" vertical="center" wrapText="1"/>
      <protection locked="0" hidden="1"/>
    </xf>
    <xf numFmtId="0" fontId="26" fillId="0" borderId="0" xfId="0" applyFont="1" applyFill="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2" fontId="26" fillId="0" borderId="16" xfId="0" applyNumberFormat="1" applyFont="1" applyBorder="1" applyAlignment="1" applyProtection="1">
      <alignment horizontal="center" vertical="center" wrapText="1"/>
      <protection hidden="1"/>
    </xf>
    <xf numFmtId="0" fontId="29" fillId="0" borderId="0" xfId="0" applyFont="1" applyBorder="1" applyAlignment="1" applyProtection="1">
      <alignment horizontal="left" vertical="center" wrapText="1"/>
      <protection hidden="1"/>
    </xf>
    <xf numFmtId="0" fontId="29" fillId="2" borderId="0" xfId="0" applyFont="1" applyFill="1" applyBorder="1" applyAlignment="1" applyProtection="1">
      <alignment horizontal="left" vertical="center" wrapText="1"/>
      <protection hidden="1"/>
    </xf>
    <xf numFmtId="0" fontId="29" fillId="2" borderId="0" xfId="0" applyFont="1" applyFill="1" applyBorder="1" applyAlignment="1" applyProtection="1">
      <alignment horizontal="right" vertical="center" wrapText="1"/>
      <protection hidden="1"/>
    </xf>
    <xf numFmtId="14" fontId="29" fillId="2" borderId="0" xfId="0" applyNumberFormat="1" applyFont="1" applyFill="1" applyBorder="1" applyAlignment="1" applyProtection="1">
      <alignment horizontal="left" vertical="center" wrapText="1"/>
      <protection hidden="1"/>
    </xf>
    <xf numFmtId="0" fontId="29" fillId="0" borderId="0" xfId="0" applyFont="1" applyAlignment="1" applyProtection="1">
      <alignment horizontal="center" vertical="justify" wrapText="1"/>
      <protection hidden="1"/>
    </xf>
    <xf numFmtId="0" fontId="29" fillId="2" borderId="0" xfId="0" applyFont="1" applyFill="1" applyBorder="1" applyAlignment="1" applyProtection="1">
      <alignment horizontal="justify" vertical="center" wrapText="1"/>
      <protection hidden="1"/>
    </xf>
    <xf numFmtId="164" fontId="13" fillId="9" borderId="57" xfId="0" applyNumberFormat="1" applyFont="1" applyFill="1" applyBorder="1" applyAlignment="1" applyProtection="1">
      <alignment horizontal="center" vertical="center"/>
      <protection hidden="1"/>
    </xf>
    <xf numFmtId="164" fontId="13" fillId="9" borderId="2" xfId="0" applyNumberFormat="1" applyFont="1" applyFill="1" applyBorder="1" applyAlignment="1" applyProtection="1">
      <alignment horizontal="center" vertical="center"/>
      <protection hidden="1"/>
    </xf>
    <xf numFmtId="2" fontId="7" fillId="6" borderId="34" xfId="0" applyNumberFormat="1" applyFont="1" applyFill="1" applyBorder="1" applyAlignment="1" applyProtection="1">
      <alignment horizontal="center" vertical="top"/>
      <protection hidden="1"/>
    </xf>
    <xf numFmtId="164" fontId="9" fillId="0" borderId="0" xfId="0" applyNumberFormat="1" applyFont="1" applyAlignment="1" applyProtection="1">
      <alignment horizontal="center" vertical="center"/>
      <protection hidden="1"/>
    </xf>
    <xf numFmtId="0" fontId="29" fillId="2" borderId="0" xfId="0" applyFont="1" applyFill="1" applyAlignment="1">
      <alignment horizontal="justify" vertical="center" wrapText="1"/>
    </xf>
    <xf numFmtId="0" fontId="29" fillId="2" borderId="0" xfId="0" applyFont="1" applyFill="1" applyAlignment="1" applyProtection="1">
      <alignment horizontal="justify" vertical="center" wrapText="1"/>
      <protection hidden="1"/>
    </xf>
    <xf numFmtId="164" fontId="8" fillId="9" borderId="8" xfId="0" applyNumberFormat="1" applyFont="1" applyFill="1" applyBorder="1" applyAlignment="1" applyProtection="1">
      <alignment horizontal="center" vertical="center" wrapText="1"/>
      <protection hidden="1"/>
    </xf>
    <xf numFmtId="164" fontId="13" fillId="9" borderId="37" xfId="0" applyNumberFormat="1" applyFont="1" applyFill="1" applyBorder="1" applyAlignment="1" applyProtection="1">
      <alignment horizontal="center" vertical="center"/>
      <protection hidden="1"/>
    </xf>
    <xf numFmtId="173" fontId="9" fillId="0" borderId="0" xfId="0" applyNumberFormat="1" applyFont="1" applyAlignment="1" applyProtection="1">
      <alignment horizontal="center" vertical="center"/>
      <protection hidden="1"/>
    </xf>
    <xf numFmtId="164" fontId="29" fillId="0" borderId="0" xfId="0" applyNumberFormat="1" applyFont="1" applyBorder="1" applyAlignment="1" applyProtection="1">
      <alignment horizontal="center" vertical="center" wrapText="1"/>
      <protection hidden="1"/>
    </xf>
    <xf numFmtId="0" fontId="47" fillId="0" borderId="0" xfId="0" applyFont="1" applyAlignment="1" applyProtection="1">
      <protection hidden="1"/>
    </xf>
    <xf numFmtId="0" fontId="47" fillId="2" borderId="0" xfId="0" applyFont="1" applyFill="1" applyAlignment="1" applyProtection="1">
      <protection hidden="1"/>
    </xf>
    <xf numFmtId="0" fontId="47" fillId="0" borderId="0" xfId="0" applyFont="1" applyProtection="1">
      <protection hidden="1"/>
    </xf>
    <xf numFmtId="0" fontId="47" fillId="2" borderId="0" xfId="0" applyFont="1" applyFill="1" applyAlignment="1" applyProtection="1">
      <alignment vertical="center" wrapText="1"/>
      <protection locked="0" hidden="1"/>
    </xf>
    <xf numFmtId="2" fontId="47" fillId="2" borderId="0" xfId="0" applyNumberFormat="1" applyFont="1" applyFill="1" applyAlignment="1" applyProtection="1">
      <alignment horizontal="justify" vertical="center" wrapText="1"/>
      <protection locked="0" hidden="1"/>
    </xf>
    <xf numFmtId="0" fontId="47" fillId="0" borderId="0" xfId="0" applyFont="1" applyAlignment="1" applyProtection="1">
      <alignment vertical="top"/>
      <protection hidden="1"/>
    </xf>
    <xf numFmtId="0" fontId="15" fillId="0" borderId="0" xfId="0" applyFont="1" applyBorder="1" applyAlignment="1" applyProtection="1">
      <alignment horizontal="center" vertical="center" wrapText="1"/>
      <protection hidden="1"/>
    </xf>
    <xf numFmtId="181" fontId="15" fillId="0" borderId="0" xfId="0" applyNumberFormat="1" applyFont="1" applyBorder="1" applyAlignment="1" applyProtection="1">
      <alignment horizontal="center" vertical="center" wrapText="1"/>
      <protection hidden="1"/>
    </xf>
    <xf numFmtId="181" fontId="70" fillId="0" borderId="9" xfId="0" applyNumberFormat="1" applyFont="1" applyBorder="1" applyAlignment="1">
      <alignment horizontal="center" vertical="center"/>
    </xf>
    <xf numFmtId="0" fontId="70" fillId="0" borderId="47" xfId="0" applyFont="1" applyBorder="1" applyAlignment="1">
      <alignment horizontal="center" vertical="center"/>
    </xf>
    <xf numFmtId="170" fontId="70" fillId="0" borderId="35" xfId="0" applyNumberFormat="1" applyFont="1" applyBorder="1" applyAlignment="1">
      <alignment horizontal="center" vertical="center"/>
    </xf>
    <xf numFmtId="0" fontId="4"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3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7" xfId="0" applyFont="1" applyBorder="1" applyAlignment="1">
      <alignment horizontal="center" vertical="center" wrapText="1"/>
    </xf>
    <xf numFmtId="0" fontId="15" fillId="0" borderId="41" xfId="0" applyFont="1" applyBorder="1" applyAlignment="1">
      <alignment horizontal="center" vertical="center"/>
    </xf>
    <xf numFmtId="171" fontId="15" fillId="0" borderId="2" xfId="0" applyNumberFormat="1" applyFont="1" applyBorder="1" applyAlignment="1">
      <alignment horizontal="center" vertical="center"/>
    </xf>
    <xf numFmtId="181" fontId="15" fillId="0" borderId="41" xfId="0" applyNumberFormat="1" applyFont="1" applyBorder="1" applyAlignment="1">
      <alignment horizontal="center" vertical="center"/>
    </xf>
    <xf numFmtId="0" fontId="15" fillId="0" borderId="2" xfId="0" applyFont="1" applyBorder="1" applyAlignment="1">
      <alignment horizontal="center" vertical="center"/>
    </xf>
    <xf numFmtId="181" fontId="15" fillId="0" borderId="7" xfId="0" applyNumberFormat="1" applyFont="1" applyBorder="1" applyAlignment="1">
      <alignment horizontal="center" vertical="center"/>
    </xf>
    <xf numFmtId="0" fontId="15" fillId="0" borderId="37" xfId="0" applyFont="1" applyBorder="1" applyAlignment="1">
      <alignment horizontal="center" vertical="center"/>
    </xf>
    <xf numFmtId="0" fontId="5" fillId="0" borderId="24" xfId="0" applyFont="1" applyBorder="1"/>
    <xf numFmtId="0" fontId="5" fillId="0" borderId="38" xfId="0" applyFont="1" applyBorder="1"/>
    <xf numFmtId="170" fontId="5" fillId="0" borderId="9" xfId="0" applyNumberFormat="1" applyFont="1" applyBorder="1" applyAlignment="1">
      <alignment horizontal="center" vertical="center"/>
    </xf>
    <xf numFmtId="170" fontId="5" fillId="25" borderId="11" xfId="0" applyNumberFormat="1" applyFont="1" applyFill="1" applyBorder="1" applyAlignment="1">
      <alignment horizontal="center" vertical="center"/>
    </xf>
    <xf numFmtId="0" fontId="26" fillId="6" borderId="5" xfId="0" applyFont="1" applyFill="1" applyBorder="1" applyAlignment="1" applyProtection="1">
      <alignment horizontal="center" vertical="center" wrapText="1"/>
      <protection hidden="1"/>
    </xf>
    <xf numFmtId="0" fontId="26" fillId="6" borderId="32" xfId="0" applyFont="1" applyFill="1" applyBorder="1" applyAlignment="1" applyProtection="1">
      <alignment horizontal="center" vertical="center" wrapText="1"/>
      <protection hidden="1"/>
    </xf>
    <xf numFmtId="0" fontId="25" fillId="12" borderId="22" xfId="0" applyFont="1" applyFill="1" applyBorder="1" applyAlignment="1" applyProtection="1">
      <alignment horizontal="center" vertical="center" wrapText="1"/>
      <protection hidden="1"/>
    </xf>
    <xf numFmtId="0" fontId="25" fillId="12" borderId="31" xfId="0" applyFont="1" applyFill="1" applyBorder="1" applyAlignment="1" applyProtection="1">
      <alignment horizontal="center" vertical="center" wrapText="1"/>
      <protection hidden="1"/>
    </xf>
    <xf numFmtId="0" fontId="25" fillId="12" borderId="23" xfId="0" applyFont="1" applyFill="1" applyBorder="1" applyAlignment="1" applyProtection="1">
      <alignment horizontal="center" vertical="center" wrapText="1"/>
      <protection hidden="1"/>
    </xf>
    <xf numFmtId="0" fontId="25" fillId="12" borderId="21" xfId="0" applyFont="1" applyFill="1" applyBorder="1" applyAlignment="1" applyProtection="1">
      <alignment horizontal="center" vertical="center" wrapText="1"/>
      <protection hidden="1"/>
    </xf>
    <xf numFmtId="0" fontId="25" fillId="12" borderId="40" xfId="0" applyFont="1" applyFill="1" applyBorder="1" applyAlignment="1" applyProtection="1">
      <alignment horizontal="center" vertical="center" wrapText="1"/>
      <protection hidden="1"/>
    </xf>
    <xf numFmtId="0" fontId="25" fillId="12" borderId="6" xfId="0" applyFont="1" applyFill="1" applyBorder="1" applyAlignment="1" applyProtection="1">
      <alignment horizontal="center" vertical="center" wrapText="1"/>
      <protection hidden="1"/>
    </xf>
    <xf numFmtId="0" fontId="30" fillId="15" borderId="59" xfId="0" applyFont="1" applyFill="1" applyBorder="1" applyAlignment="1" applyProtection="1">
      <alignment horizontal="center" vertical="center"/>
      <protection hidden="1"/>
    </xf>
    <xf numFmtId="0" fontId="30" fillId="15" borderId="52" xfId="0" applyFont="1" applyFill="1" applyBorder="1" applyAlignment="1" applyProtection="1">
      <alignment horizontal="center" vertical="center"/>
      <protection hidden="1"/>
    </xf>
    <xf numFmtId="0" fontId="30" fillId="15" borderId="50" xfId="0" applyFont="1" applyFill="1" applyBorder="1" applyAlignment="1" applyProtection="1">
      <alignment horizontal="center" vertical="center"/>
      <protection hidden="1"/>
    </xf>
    <xf numFmtId="0" fontId="30" fillId="15" borderId="33" xfId="0" applyFont="1" applyFill="1" applyBorder="1" applyAlignment="1" applyProtection="1">
      <alignment horizontal="center" vertical="center"/>
      <protection hidden="1"/>
    </xf>
    <xf numFmtId="0" fontId="30" fillId="15" borderId="56" xfId="0" applyFont="1" applyFill="1" applyBorder="1" applyAlignment="1" applyProtection="1">
      <alignment horizontal="center" vertical="center"/>
      <protection hidden="1"/>
    </xf>
    <xf numFmtId="0" fontId="30" fillId="15" borderId="34" xfId="0" applyFont="1" applyFill="1" applyBorder="1" applyAlignment="1" applyProtection="1">
      <alignment horizontal="center" vertical="center"/>
      <protection hidden="1"/>
    </xf>
    <xf numFmtId="0" fontId="27" fillId="12" borderId="14" xfId="0" applyFont="1" applyFill="1" applyBorder="1" applyAlignment="1" applyProtection="1">
      <alignment horizontal="center" vertical="center"/>
      <protection hidden="1"/>
    </xf>
    <xf numFmtId="0" fontId="27" fillId="12" borderId="15" xfId="0" applyFont="1" applyFill="1" applyBorder="1" applyAlignment="1" applyProtection="1">
      <alignment horizontal="center" vertical="center"/>
      <protection hidden="1"/>
    </xf>
    <xf numFmtId="0" fontId="27" fillId="12" borderId="16" xfId="0" applyFont="1" applyFill="1" applyBorder="1" applyAlignment="1" applyProtection="1">
      <alignment horizontal="center" vertical="center"/>
      <protection hidden="1"/>
    </xf>
    <xf numFmtId="168" fontId="29" fillId="19" borderId="51" xfId="0" applyNumberFormat="1" applyFont="1" applyFill="1" applyBorder="1" applyAlignment="1" applyProtection="1">
      <alignment horizontal="center" vertical="center" wrapText="1"/>
    </xf>
    <xf numFmtId="168" fontId="29" fillId="19" borderId="26" xfId="0" applyNumberFormat="1" applyFont="1" applyFill="1" applyBorder="1" applyAlignment="1" applyProtection="1">
      <alignment horizontal="center" vertical="center" wrapText="1"/>
    </xf>
    <xf numFmtId="168" fontId="29" fillId="19" borderId="49" xfId="0" applyNumberFormat="1" applyFont="1" applyFill="1" applyBorder="1" applyAlignment="1" applyProtection="1">
      <alignment horizontal="center" vertical="center" wrapText="1"/>
    </xf>
    <xf numFmtId="0" fontId="29" fillId="19" borderId="39" xfId="0" applyFont="1" applyFill="1" applyBorder="1" applyAlignment="1" applyProtection="1">
      <alignment horizontal="center" vertical="center" wrapText="1"/>
      <protection hidden="1"/>
    </xf>
    <xf numFmtId="0" fontId="29" fillId="19" borderId="42" xfId="0" applyFont="1" applyFill="1" applyBorder="1" applyAlignment="1" applyProtection="1">
      <alignment horizontal="center" vertical="center" wrapText="1"/>
      <protection hidden="1"/>
    </xf>
    <xf numFmtId="0" fontId="29" fillId="19" borderId="12" xfId="0" applyFont="1" applyFill="1" applyBorder="1" applyAlignment="1" applyProtection="1">
      <alignment horizontal="center" vertical="center" wrapText="1"/>
      <protection hidden="1"/>
    </xf>
    <xf numFmtId="0" fontId="30" fillId="18" borderId="22" xfId="0" applyFont="1" applyFill="1" applyBorder="1" applyAlignment="1" applyProtection="1">
      <alignment horizontal="center" vertical="center"/>
      <protection hidden="1"/>
    </xf>
    <xf numFmtId="0" fontId="30" fillId="18" borderId="23" xfId="0" applyFont="1" applyFill="1" applyBorder="1" applyAlignment="1" applyProtection="1">
      <alignment horizontal="center" vertical="center"/>
      <protection hidden="1"/>
    </xf>
    <xf numFmtId="0" fontId="30" fillId="18" borderId="24" xfId="0" applyFont="1" applyFill="1" applyBorder="1" applyAlignment="1" applyProtection="1">
      <alignment horizontal="center" vertical="center"/>
      <protection hidden="1"/>
    </xf>
    <xf numFmtId="0" fontId="30" fillId="18" borderId="38" xfId="0" applyFont="1" applyFill="1" applyBorder="1" applyAlignment="1" applyProtection="1">
      <alignment horizontal="center" vertical="center"/>
      <protection hidden="1"/>
    </xf>
    <xf numFmtId="0" fontId="30" fillId="18" borderId="21" xfId="0" applyFont="1" applyFill="1" applyBorder="1" applyAlignment="1" applyProtection="1">
      <alignment horizontal="center" vertical="center"/>
      <protection hidden="1"/>
    </xf>
    <xf numFmtId="0" fontId="30" fillId="18" borderId="6" xfId="0" applyFont="1" applyFill="1" applyBorder="1" applyAlignment="1" applyProtection="1">
      <alignment horizontal="center" vertical="center"/>
      <protection hidden="1"/>
    </xf>
    <xf numFmtId="3" fontId="28" fillId="19" borderId="3" xfId="0" applyNumberFormat="1" applyFont="1" applyFill="1" applyBorder="1" applyAlignment="1" applyProtection="1">
      <alignment horizontal="center" vertical="center" wrapText="1"/>
      <protection hidden="1"/>
    </xf>
    <xf numFmtId="0" fontId="0" fillId="19" borderId="3" xfId="0" applyFill="1" applyBorder="1" applyAlignment="1" applyProtection="1">
      <alignment horizontal="center" vertical="center" wrapText="1"/>
      <protection hidden="1"/>
    </xf>
    <xf numFmtId="168" fontId="28" fillId="19" borderId="1" xfId="0" applyNumberFormat="1" applyFont="1" applyFill="1" applyBorder="1" applyAlignment="1" applyProtection="1">
      <alignment horizontal="center" vertical="center" wrapText="1"/>
      <protection hidden="1"/>
    </xf>
    <xf numFmtId="0" fontId="0" fillId="19" borderId="1" xfId="0" applyFill="1" applyBorder="1" applyAlignment="1" applyProtection="1">
      <alignment horizontal="center" vertical="center" wrapText="1"/>
      <protection hidden="1"/>
    </xf>
    <xf numFmtId="0" fontId="28" fillId="19" borderId="42" xfId="0" applyFont="1"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28" fillId="19" borderId="28" xfId="0" applyFont="1" applyFill="1" applyBorder="1" applyAlignment="1" applyProtection="1">
      <alignment horizontal="center" vertical="center"/>
      <protection hidden="1"/>
    </xf>
    <xf numFmtId="0" fontId="28" fillId="19" borderId="29" xfId="0" applyFont="1" applyFill="1" applyBorder="1" applyAlignment="1" applyProtection="1">
      <alignment horizontal="center" vertical="center"/>
      <protection hidden="1"/>
    </xf>
    <xf numFmtId="0" fontId="28" fillId="19" borderId="75" xfId="0" applyFont="1" applyFill="1" applyBorder="1" applyAlignment="1" applyProtection="1">
      <alignment horizontal="center" vertical="center"/>
      <protection hidden="1"/>
    </xf>
    <xf numFmtId="0" fontId="16" fillId="6" borderId="44" xfId="0" applyFont="1" applyFill="1" applyBorder="1" applyAlignment="1" applyProtection="1">
      <alignment horizontal="center" vertical="center" wrapText="1"/>
      <protection hidden="1"/>
    </xf>
    <xf numFmtId="0" fontId="16" fillId="6" borderId="46" xfId="0" applyFont="1" applyFill="1" applyBorder="1" applyAlignment="1" applyProtection="1">
      <alignment horizontal="center" vertical="center" wrapText="1"/>
      <protection hidden="1"/>
    </xf>
    <xf numFmtId="0" fontId="29" fillId="6" borderId="56" xfId="0" applyFont="1" applyFill="1" applyBorder="1" applyAlignment="1" applyProtection="1">
      <alignment horizontal="center" vertical="center"/>
      <protection hidden="1"/>
    </xf>
    <xf numFmtId="0" fontId="16" fillId="6" borderId="24" xfId="0" applyFont="1" applyFill="1" applyBorder="1" applyAlignment="1" applyProtection="1">
      <alignment horizontal="center" vertical="center" wrapText="1"/>
      <protection hidden="1"/>
    </xf>
    <xf numFmtId="0" fontId="16" fillId="6" borderId="0" xfId="0" applyFont="1" applyFill="1" applyBorder="1" applyAlignment="1" applyProtection="1">
      <alignment horizontal="center" vertical="center" wrapText="1"/>
      <protection hidden="1"/>
    </xf>
    <xf numFmtId="0" fontId="16" fillId="6" borderId="38" xfId="0" applyFont="1" applyFill="1" applyBorder="1" applyAlignment="1" applyProtection="1">
      <alignment horizontal="center" vertical="center" wrapText="1"/>
      <protection hidden="1"/>
    </xf>
    <xf numFmtId="0" fontId="28" fillId="18" borderId="58" xfId="0" applyFont="1" applyFill="1" applyBorder="1" applyAlignment="1" applyProtection="1">
      <alignment horizontal="center" vertical="center" wrapText="1"/>
      <protection hidden="1"/>
    </xf>
    <xf numFmtId="0" fontId="28" fillId="18" borderId="53" xfId="0" applyFont="1" applyFill="1" applyBorder="1" applyAlignment="1" applyProtection="1">
      <alignment horizontal="center" vertical="center" wrapText="1"/>
      <protection hidden="1"/>
    </xf>
    <xf numFmtId="0" fontId="28" fillId="18" borderId="48" xfId="0" applyFont="1" applyFill="1" applyBorder="1" applyAlignment="1" applyProtection="1">
      <alignment horizontal="center" vertical="center" wrapText="1"/>
      <protection hidden="1"/>
    </xf>
    <xf numFmtId="3" fontId="28" fillId="17" borderId="45" xfId="0" applyNumberFormat="1" applyFont="1" applyFill="1" applyBorder="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3" fontId="28" fillId="21" borderId="54" xfId="0" applyNumberFormat="1" applyFont="1" applyFill="1" applyBorder="1" applyAlignment="1" applyProtection="1">
      <alignment horizontal="center" vertical="center" wrapText="1"/>
      <protection hidden="1"/>
    </xf>
    <xf numFmtId="0" fontId="0" fillId="21" borderId="30" xfId="0" applyFill="1" applyBorder="1" applyAlignment="1" applyProtection="1">
      <alignment horizontal="center" vertical="center" wrapText="1"/>
      <protection hidden="1"/>
    </xf>
    <xf numFmtId="0" fontId="0" fillId="21" borderId="55" xfId="0" applyFill="1" applyBorder="1" applyAlignment="1" applyProtection="1">
      <alignment horizontal="center" vertical="center" wrapText="1"/>
      <protection hidden="1"/>
    </xf>
    <xf numFmtId="0" fontId="29" fillId="19" borderId="44" xfId="0" applyFont="1" applyFill="1" applyBorder="1" applyAlignment="1" applyProtection="1">
      <alignment horizontal="center" vertical="center" wrapText="1"/>
      <protection hidden="1"/>
    </xf>
    <xf numFmtId="0" fontId="29" fillId="21" borderId="51" xfId="0" applyFont="1" applyFill="1" applyBorder="1" applyAlignment="1" applyProtection="1">
      <alignment horizontal="center" vertical="center"/>
      <protection hidden="1"/>
    </xf>
    <xf numFmtId="0" fontId="29" fillId="21" borderId="26" xfId="0" applyFont="1" applyFill="1" applyBorder="1" applyAlignment="1" applyProtection="1">
      <alignment horizontal="center" vertical="center"/>
      <protection hidden="1"/>
    </xf>
    <xf numFmtId="0" fontId="29" fillId="21" borderId="49" xfId="0"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wrapText="1"/>
      <protection hidden="1"/>
    </xf>
    <xf numFmtId="2" fontId="6" fillId="0" borderId="8" xfId="0" applyNumberFormat="1" applyFont="1" applyFill="1" applyBorder="1" applyAlignment="1" applyProtection="1">
      <alignment horizontal="center" vertical="center"/>
      <protection hidden="1"/>
    </xf>
    <xf numFmtId="0" fontId="16" fillId="6" borderId="22" xfId="0" applyFont="1" applyFill="1" applyBorder="1" applyAlignment="1" applyProtection="1">
      <alignment horizontal="center" vertical="center"/>
      <protection hidden="1"/>
    </xf>
    <xf numFmtId="0" fontId="16" fillId="6" borderId="31" xfId="0" applyFont="1" applyFill="1" applyBorder="1" applyAlignment="1" applyProtection="1">
      <alignment horizontal="center" vertical="center"/>
      <protection hidden="1"/>
    </xf>
    <xf numFmtId="0" fontId="16" fillId="6" borderId="23" xfId="0" applyFont="1" applyFill="1" applyBorder="1" applyAlignment="1" applyProtection="1">
      <alignment horizontal="center" vertical="center"/>
      <protection hidden="1"/>
    </xf>
    <xf numFmtId="0" fontId="29" fillId="0" borderId="5" xfId="0" applyFont="1" applyBorder="1" applyAlignment="1" applyProtection="1">
      <alignment horizontal="center"/>
      <protection hidden="1"/>
    </xf>
    <xf numFmtId="0" fontId="28" fillId="0" borderId="5"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wrapText="1"/>
      <protection hidden="1"/>
    </xf>
    <xf numFmtId="0" fontId="26" fillId="6" borderId="7" xfId="0" applyFont="1" applyFill="1" applyBorder="1" applyAlignment="1" applyProtection="1">
      <alignment horizontal="center" vertical="center" wrapText="1"/>
      <protection hidden="1"/>
    </xf>
    <xf numFmtId="0" fontId="26" fillId="6" borderId="39" xfId="0" applyFont="1" applyFill="1" applyBorder="1" applyAlignment="1" applyProtection="1">
      <alignment horizontal="center" vertical="center" wrapText="1"/>
      <protection hidden="1"/>
    </xf>
    <xf numFmtId="0" fontId="26" fillId="6" borderId="12" xfId="0" applyFont="1" applyFill="1" applyBorder="1" applyAlignment="1" applyProtection="1">
      <alignment horizontal="center" vertical="center" wrapText="1"/>
      <protection hidden="1"/>
    </xf>
    <xf numFmtId="0" fontId="29" fillId="22" borderId="22" xfId="0" applyFont="1" applyFill="1" applyBorder="1" applyAlignment="1" applyProtection="1">
      <alignment horizontal="center" vertical="center"/>
      <protection hidden="1"/>
    </xf>
    <xf numFmtId="0" fontId="29" fillId="22" borderId="24" xfId="0" applyFont="1" applyFill="1" applyBorder="1" applyAlignment="1" applyProtection="1">
      <alignment horizontal="center" vertical="center"/>
      <protection hidden="1"/>
    </xf>
    <xf numFmtId="0" fontId="29" fillId="22" borderId="21" xfId="0" applyFont="1" applyFill="1" applyBorder="1" applyAlignment="1" applyProtection="1">
      <alignment horizontal="center" vertical="center"/>
      <protection hidden="1"/>
    </xf>
    <xf numFmtId="0" fontId="26" fillId="6" borderId="39" xfId="0" applyFont="1" applyFill="1" applyBorder="1" applyAlignment="1" applyProtection="1">
      <alignment horizontal="center" vertical="center"/>
      <protection hidden="1"/>
    </xf>
    <xf numFmtId="0" fontId="26" fillId="6" borderId="46" xfId="0" applyFont="1" applyFill="1" applyBorder="1" applyAlignment="1" applyProtection="1">
      <alignment horizontal="center" vertical="center"/>
      <protection hidden="1"/>
    </xf>
    <xf numFmtId="0" fontId="29" fillId="22" borderId="61" xfId="0" applyFont="1" applyFill="1" applyBorder="1" applyAlignment="1" applyProtection="1">
      <alignment horizontal="center" vertical="center" wrapText="1"/>
      <protection hidden="1"/>
    </xf>
    <xf numFmtId="0" fontId="29" fillId="22" borderId="62" xfId="0" applyFont="1" applyFill="1" applyBorder="1" applyAlignment="1" applyProtection="1">
      <alignment horizontal="center" vertical="center" wrapText="1"/>
      <protection hidden="1"/>
    </xf>
    <xf numFmtId="0" fontId="29" fillId="22" borderId="63" xfId="0" applyFont="1" applyFill="1" applyBorder="1" applyAlignment="1" applyProtection="1">
      <alignment horizontal="center" vertical="center" wrapText="1"/>
      <protection hidden="1"/>
    </xf>
    <xf numFmtId="0" fontId="29" fillId="22" borderId="24" xfId="0" applyFont="1" applyFill="1" applyBorder="1" applyAlignment="1" applyProtection="1">
      <alignment horizontal="center" vertical="center" wrapText="1"/>
      <protection hidden="1"/>
    </xf>
    <xf numFmtId="0" fontId="29" fillId="22" borderId="21" xfId="0" applyFont="1" applyFill="1" applyBorder="1" applyAlignment="1" applyProtection="1">
      <alignment horizontal="center" vertical="center" wrapText="1"/>
      <protection hidden="1"/>
    </xf>
    <xf numFmtId="0" fontId="29" fillId="22" borderId="22" xfId="0" applyFont="1" applyFill="1" applyBorder="1" applyAlignment="1" applyProtection="1">
      <alignment horizontal="center" vertical="center" wrapText="1"/>
      <protection hidden="1"/>
    </xf>
    <xf numFmtId="0" fontId="26" fillId="6" borderId="4" xfId="0" applyFont="1" applyFill="1" applyBorder="1" applyAlignment="1" applyProtection="1">
      <alignment horizontal="center" vertical="center"/>
      <protection hidden="1"/>
    </xf>
    <xf numFmtId="0" fontId="26" fillId="6" borderId="45" xfId="0"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protection hidden="1"/>
    </xf>
    <xf numFmtId="0" fontId="26" fillId="6" borderId="32" xfId="0" applyFont="1" applyFill="1" applyBorder="1" applyAlignment="1" applyProtection="1">
      <alignment horizontal="center" vertical="center"/>
      <protection hidden="1"/>
    </xf>
    <xf numFmtId="0" fontId="26" fillId="22" borderId="5" xfId="0" applyFont="1" applyFill="1" applyBorder="1" applyAlignment="1" applyProtection="1">
      <alignment horizontal="center" vertical="center" wrapText="1"/>
      <protection hidden="1"/>
    </xf>
    <xf numFmtId="0" fontId="26" fillId="22" borderId="32" xfId="0" applyFont="1" applyFill="1" applyBorder="1" applyAlignment="1" applyProtection="1">
      <alignment horizontal="center" vertical="center" wrapText="1"/>
      <protection hidden="1"/>
    </xf>
    <xf numFmtId="49" fontId="26" fillId="6" borderId="4" xfId="2" applyNumberFormat="1" applyFont="1" applyFill="1" applyBorder="1" applyAlignment="1" applyProtection="1">
      <alignment horizontal="center" vertical="center" wrapText="1"/>
      <protection hidden="1"/>
    </xf>
    <xf numFmtId="49" fontId="26" fillId="6" borderId="7" xfId="2" applyNumberFormat="1" applyFont="1" applyFill="1" applyBorder="1" applyAlignment="1" applyProtection="1">
      <alignment horizontal="center" vertical="center" wrapText="1"/>
      <protection hidden="1"/>
    </xf>
    <xf numFmtId="49" fontId="26" fillId="6" borderId="5" xfId="2" applyNumberFormat="1" applyFont="1" applyFill="1" applyBorder="1" applyAlignment="1" applyProtection="1">
      <alignment horizontal="center" vertical="center" wrapText="1"/>
      <protection hidden="1"/>
    </xf>
    <xf numFmtId="49" fontId="26" fillId="6" borderId="8" xfId="2" applyNumberFormat="1" applyFont="1" applyFill="1" applyBorder="1" applyAlignment="1" applyProtection="1">
      <alignment horizontal="center" vertical="center" wrapText="1"/>
      <protection hidden="1"/>
    </xf>
    <xf numFmtId="49" fontId="26" fillId="6" borderId="43" xfId="0" applyNumberFormat="1" applyFont="1" applyFill="1" applyBorder="1" applyAlignment="1" applyProtection="1">
      <alignment horizontal="center" vertical="center"/>
      <protection hidden="1"/>
    </xf>
    <xf numFmtId="49" fontId="26" fillId="6" borderId="7" xfId="0" applyNumberFormat="1" applyFont="1" applyFill="1" applyBorder="1" applyAlignment="1" applyProtection="1">
      <alignment horizontal="center" vertical="center"/>
      <protection hidden="1"/>
    </xf>
    <xf numFmtId="49" fontId="26" fillId="6" borderId="20" xfId="0" applyNumberFormat="1" applyFont="1" applyFill="1" applyBorder="1" applyAlignment="1" applyProtection="1">
      <alignment horizontal="center" vertical="center" wrapText="1"/>
      <protection hidden="1"/>
    </xf>
    <xf numFmtId="49" fontId="26" fillId="6" borderId="8" xfId="0" applyNumberFormat="1" applyFont="1" applyFill="1" applyBorder="1" applyAlignment="1" applyProtection="1">
      <alignment horizontal="center" vertical="center" wrapText="1"/>
      <protection hidden="1"/>
    </xf>
    <xf numFmtId="49" fontId="26" fillId="6" borderId="26" xfId="2" applyNumberFormat="1" applyFont="1" applyFill="1" applyBorder="1" applyAlignment="1" applyProtection="1">
      <alignment horizontal="center" vertical="center"/>
      <protection hidden="1"/>
    </xf>
    <xf numFmtId="49" fontId="26" fillId="6" borderId="49" xfId="2" applyNumberFormat="1" applyFont="1" applyFill="1" applyBorder="1" applyAlignment="1" applyProtection="1">
      <alignment horizontal="center" vertical="center"/>
      <protection hidden="1"/>
    </xf>
    <xf numFmtId="49" fontId="26" fillId="6" borderId="20" xfId="2" applyNumberFormat="1" applyFont="1" applyFill="1" applyBorder="1" applyAlignment="1" applyProtection="1">
      <alignment horizontal="center" vertical="center" wrapText="1"/>
      <protection hidden="1"/>
    </xf>
    <xf numFmtId="49" fontId="26" fillId="6" borderId="44" xfId="0" applyNumberFormat="1" applyFont="1" applyFill="1" applyBorder="1" applyAlignment="1" applyProtection="1">
      <alignment horizontal="center" vertical="center" wrapText="1"/>
      <protection hidden="1"/>
    </xf>
    <xf numFmtId="49" fontId="26" fillId="6" borderId="12" xfId="0" applyNumberFormat="1" applyFont="1" applyFill="1" applyBorder="1" applyAlignment="1" applyProtection="1">
      <alignment horizontal="center" vertical="center" wrapText="1"/>
      <protection hidden="1"/>
    </xf>
    <xf numFmtId="0" fontId="16" fillId="6" borderId="18" xfId="0" applyFont="1" applyFill="1" applyBorder="1" applyAlignment="1" applyProtection="1">
      <alignment horizontal="center" vertical="center" wrapText="1"/>
      <protection hidden="1"/>
    </xf>
    <xf numFmtId="0" fontId="16" fillId="6" borderId="28" xfId="0" applyFont="1" applyFill="1" applyBorder="1" applyAlignment="1" applyProtection="1">
      <alignment horizontal="center" vertical="center" wrapText="1"/>
      <protection hidden="1"/>
    </xf>
    <xf numFmtId="0" fontId="28" fillId="19" borderId="74" xfId="0" applyFont="1" applyFill="1" applyBorder="1" applyAlignment="1" applyProtection="1">
      <alignment horizontal="center" vertical="center"/>
      <protection hidden="1"/>
    </xf>
    <xf numFmtId="0" fontId="28" fillId="19" borderId="18" xfId="0" applyFont="1" applyFill="1" applyBorder="1" applyAlignment="1" applyProtection="1">
      <alignment horizontal="center" vertical="center"/>
      <protection hidden="1"/>
    </xf>
    <xf numFmtId="168" fontId="28" fillId="19" borderId="32" xfId="0" applyNumberFormat="1" applyFont="1" applyFill="1" applyBorder="1" applyAlignment="1" applyProtection="1">
      <alignment horizontal="center" vertical="center"/>
      <protection hidden="1"/>
    </xf>
    <xf numFmtId="168" fontId="28" fillId="19" borderId="26" xfId="0" applyNumberFormat="1" applyFont="1" applyFill="1" applyBorder="1" applyAlignment="1" applyProtection="1">
      <alignment horizontal="center" vertical="center"/>
      <protection hidden="1"/>
    </xf>
    <xf numFmtId="168" fontId="28" fillId="19" borderId="20" xfId="0" applyNumberFormat="1" applyFont="1" applyFill="1" applyBorder="1" applyAlignment="1" applyProtection="1">
      <alignment horizontal="center" vertical="center"/>
      <protection hidden="1"/>
    </xf>
    <xf numFmtId="168" fontId="28" fillId="19" borderId="49" xfId="0" applyNumberFormat="1" applyFont="1" applyFill="1" applyBorder="1" applyAlignment="1" applyProtection="1">
      <alignment horizontal="center" vertical="center"/>
      <protection hidden="1"/>
    </xf>
    <xf numFmtId="0" fontId="26" fillId="18" borderId="22" xfId="0" applyFont="1" applyFill="1" applyBorder="1" applyAlignment="1" applyProtection="1">
      <alignment horizontal="center" vertical="center"/>
      <protection hidden="1"/>
    </xf>
    <xf numFmtId="0" fontId="29" fillId="18" borderId="23" xfId="0" applyFont="1" applyFill="1" applyBorder="1" applyAlignment="1" applyProtection="1">
      <alignment horizontal="center" vertical="center"/>
      <protection hidden="1"/>
    </xf>
    <xf numFmtId="0" fontId="29" fillId="18" borderId="24" xfId="0" applyFont="1" applyFill="1" applyBorder="1" applyAlignment="1" applyProtection="1">
      <alignment horizontal="center" vertical="center"/>
      <protection hidden="1"/>
    </xf>
    <xf numFmtId="0" fontId="29" fillId="18" borderId="38" xfId="0" applyFont="1" applyFill="1" applyBorder="1" applyAlignment="1" applyProtection="1">
      <alignment horizontal="center" vertical="center"/>
      <protection hidden="1"/>
    </xf>
    <xf numFmtId="0" fontId="29" fillId="18" borderId="21" xfId="0" applyFont="1" applyFill="1" applyBorder="1" applyAlignment="1" applyProtection="1">
      <alignment horizontal="center" vertical="center"/>
      <protection hidden="1"/>
    </xf>
    <xf numFmtId="0" fontId="29" fillId="18" borderId="6" xfId="0" applyFont="1" applyFill="1" applyBorder="1" applyAlignment="1" applyProtection="1">
      <alignment horizontal="center" vertical="center"/>
      <protection hidden="1"/>
    </xf>
    <xf numFmtId="0" fontId="16" fillId="6" borderId="20" xfId="0" applyFont="1" applyFill="1" applyBorder="1" applyAlignment="1" applyProtection="1">
      <alignment horizontal="center" vertical="center" wrapText="1"/>
      <protection hidden="1"/>
    </xf>
    <xf numFmtId="0" fontId="16" fillId="6" borderId="32" xfId="0" applyFont="1" applyFill="1" applyBorder="1" applyAlignment="1" applyProtection="1">
      <alignment horizontal="center" vertical="center" wrapText="1"/>
      <protection hidden="1"/>
    </xf>
    <xf numFmtId="0" fontId="26" fillId="18" borderId="31" xfId="0" applyFont="1" applyFill="1" applyBorder="1" applyAlignment="1" applyProtection="1">
      <alignment horizontal="center" vertical="center"/>
      <protection hidden="1"/>
    </xf>
    <xf numFmtId="0" fontId="26" fillId="18" borderId="24" xfId="0" applyFont="1" applyFill="1" applyBorder="1" applyAlignment="1" applyProtection="1">
      <alignment horizontal="center" vertical="center"/>
      <protection hidden="1"/>
    </xf>
    <xf numFmtId="0" fontId="26" fillId="18" borderId="0" xfId="0" applyFont="1" applyFill="1" applyBorder="1" applyAlignment="1" applyProtection="1">
      <alignment horizontal="center" vertical="center"/>
      <protection hidden="1"/>
    </xf>
    <xf numFmtId="0" fontId="26" fillId="18" borderId="21" xfId="0" applyFont="1" applyFill="1" applyBorder="1" applyAlignment="1" applyProtection="1">
      <alignment horizontal="center" vertical="center"/>
      <protection hidden="1"/>
    </xf>
    <xf numFmtId="0" fontId="26" fillId="18" borderId="40" xfId="0" applyFont="1" applyFill="1" applyBorder="1" applyAlignment="1" applyProtection="1">
      <alignment horizontal="center" vertical="center"/>
      <protection hidden="1"/>
    </xf>
    <xf numFmtId="0" fontId="29" fillId="18" borderId="5" xfId="0" applyFont="1" applyFill="1" applyBorder="1" applyAlignment="1" applyProtection="1">
      <alignment horizontal="center" vertical="center"/>
      <protection hidden="1"/>
    </xf>
    <xf numFmtId="0" fontId="29" fillId="18" borderId="1" xfId="0" applyFont="1" applyFill="1" applyBorder="1" applyAlignment="1" applyProtection="1">
      <alignment horizontal="center" vertical="center"/>
      <protection hidden="1"/>
    </xf>
    <xf numFmtId="0" fontId="29" fillId="18" borderId="8" xfId="0" applyFont="1" applyFill="1" applyBorder="1" applyAlignment="1" applyProtection="1">
      <alignment horizontal="center" vertical="center"/>
      <protection hidden="1"/>
    </xf>
    <xf numFmtId="0" fontId="28" fillId="19" borderId="64" xfId="0" applyFont="1" applyFill="1" applyBorder="1" applyAlignment="1" applyProtection="1">
      <alignment horizontal="center" vertical="center" wrapText="1"/>
      <protection hidden="1"/>
    </xf>
    <xf numFmtId="168" fontId="28" fillId="19" borderId="5" xfId="0" applyNumberFormat="1" applyFont="1" applyFill="1" applyBorder="1" applyAlignment="1" applyProtection="1">
      <alignment horizontal="center" vertical="center" wrapText="1"/>
      <protection hidden="1"/>
    </xf>
    <xf numFmtId="0" fontId="30" fillId="18" borderId="31" xfId="0" applyFont="1" applyFill="1" applyBorder="1" applyAlignment="1" applyProtection="1">
      <alignment horizontal="center" vertical="center"/>
      <protection hidden="1"/>
    </xf>
    <xf numFmtId="0" fontId="30" fillId="18" borderId="0" xfId="0" applyFont="1" applyFill="1" applyBorder="1" applyAlignment="1" applyProtection="1">
      <alignment horizontal="center" vertical="center"/>
      <protection hidden="1"/>
    </xf>
    <xf numFmtId="0" fontId="30" fillId="18" borderId="40" xfId="0" applyFont="1" applyFill="1" applyBorder="1" applyAlignment="1" applyProtection="1">
      <alignment horizontal="center" vertical="center"/>
      <protection hidden="1"/>
    </xf>
    <xf numFmtId="0" fontId="28" fillId="19" borderId="3" xfId="0" applyFont="1" applyFill="1" applyBorder="1" applyAlignment="1" applyProtection="1">
      <alignment horizontal="center" vertical="center" wrapText="1"/>
      <protection hidden="1"/>
    </xf>
    <xf numFmtId="0" fontId="0" fillId="19" borderId="13"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0" fontId="26" fillId="18" borderId="22" xfId="0" applyFont="1" applyFill="1" applyBorder="1" applyAlignment="1" applyProtection="1">
      <alignment horizontal="center" vertical="center" wrapText="1"/>
      <protection hidden="1"/>
    </xf>
    <xf numFmtId="0" fontId="26" fillId="18" borderId="23" xfId="0" applyFont="1" applyFill="1" applyBorder="1" applyAlignment="1" applyProtection="1">
      <alignment horizontal="center" vertical="center" wrapText="1"/>
      <protection hidden="1"/>
    </xf>
    <xf numFmtId="0" fontId="26" fillId="18" borderId="24" xfId="0" applyFont="1" applyFill="1" applyBorder="1" applyAlignment="1" applyProtection="1">
      <alignment horizontal="center" vertical="center" wrapText="1"/>
      <protection hidden="1"/>
    </xf>
    <xf numFmtId="0" fontId="26" fillId="18" borderId="38" xfId="0" applyFont="1" applyFill="1" applyBorder="1" applyAlignment="1" applyProtection="1">
      <alignment horizontal="center" vertical="center" wrapText="1"/>
      <protection hidden="1"/>
    </xf>
    <xf numFmtId="0" fontId="26" fillId="18" borderId="21" xfId="0" applyFont="1" applyFill="1" applyBorder="1" applyAlignment="1" applyProtection="1">
      <alignment horizontal="center" vertical="center" wrapText="1"/>
      <protection hidden="1"/>
    </xf>
    <xf numFmtId="0" fontId="26" fillId="18" borderId="6" xfId="0" applyFont="1" applyFill="1" applyBorder="1" applyAlignment="1" applyProtection="1">
      <alignment horizontal="center" vertical="center" wrapText="1"/>
      <protection hidden="1"/>
    </xf>
    <xf numFmtId="0" fontId="29" fillId="18" borderId="51"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28" fillId="19" borderId="39" xfId="0" applyFont="1" applyFill="1" applyBorder="1" applyAlignment="1" applyProtection="1">
      <alignment horizontal="center" vertical="center" wrapText="1"/>
      <protection hidden="1"/>
    </xf>
    <xf numFmtId="14" fontId="28" fillId="19" borderId="59" xfId="0" applyNumberFormat="1" applyFont="1" applyFill="1" applyBorder="1" applyAlignment="1" applyProtection="1">
      <alignment horizontal="center" vertical="center"/>
      <protection hidden="1"/>
    </xf>
    <xf numFmtId="14" fontId="28" fillId="19" borderId="52" xfId="0" applyNumberFormat="1" applyFont="1" applyFill="1" applyBorder="1" applyAlignment="1" applyProtection="1">
      <alignment horizontal="center" vertical="center"/>
      <protection hidden="1"/>
    </xf>
    <xf numFmtId="14" fontId="28" fillId="19" borderId="44" xfId="0" applyNumberFormat="1" applyFont="1" applyFill="1" applyBorder="1" applyAlignment="1" applyProtection="1">
      <alignment horizontal="center" vertical="center"/>
      <protection hidden="1"/>
    </xf>
    <xf numFmtId="14" fontId="28" fillId="19" borderId="46" xfId="0" applyNumberFormat="1" applyFont="1" applyFill="1" applyBorder="1" applyAlignment="1" applyProtection="1">
      <alignment horizontal="center" vertical="center"/>
      <protection hidden="1"/>
    </xf>
    <xf numFmtId="0" fontId="28" fillId="19" borderId="46" xfId="0" applyFont="1" applyFill="1" applyBorder="1" applyAlignment="1" applyProtection="1">
      <alignment horizontal="center" vertical="center"/>
      <protection hidden="1"/>
    </xf>
    <xf numFmtId="0" fontId="28" fillId="19" borderId="52" xfId="0" applyFont="1" applyFill="1" applyBorder="1" applyAlignment="1" applyProtection="1">
      <alignment horizontal="center" vertical="center"/>
      <protection hidden="1"/>
    </xf>
    <xf numFmtId="0" fontId="28" fillId="19" borderId="50" xfId="0" applyFont="1" applyFill="1" applyBorder="1" applyAlignment="1" applyProtection="1">
      <alignment horizontal="center" vertical="center"/>
      <protection hidden="1"/>
    </xf>
    <xf numFmtId="168" fontId="28" fillId="19" borderId="51" xfId="0" applyNumberFormat="1" applyFont="1" applyFill="1" applyBorder="1" applyAlignment="1" applyProtection="1">
      <alignment horizontal="center" vertical="center"/>
      <protection hidden="1"/>
    </xf>
    <xf numFmtId="0" fontId="30" fillId="18" borderId="41" xfId="0" applyFont="1" applyFill="1" applyBorder="1" applyAlignment="1" applyProtection="1">
      <alignment horizontal="center" vertical="center"/>
      <protection hidden="1"/>
    </xf>
    <xf numFmtId="0" fontId="30" fillId="18" borderId="1" xfId="0" applyFont="1" applyFill="1" applyBorder="1" applyAlignment="1" applyProtection="1">
      <alignment horizontal="center" vertical="center"/>
      <protection hidden="1"/>
    </xf>
    <xf numFmtId="1" fontId="28" fillId="19" borderId="3" xfId="0" applyNumberFormat="1" applyFont="1" applyFill="1" applyBorder="1" applyAlignment="1" applyProtection="1">
      <alignment horizontal="center" vertical="center" wrapText="1"/>
      <protection hidden="1"/>
    </xf>
    <xf numFmtId="1" fontId="0" fillId="19" borderId="3" xfId="0" applyNumberFormat="1" applyFill="1" applyBorder="1" applyAlignment="1" applyProtection="1">
      <alignment horizontal="center" vertical="center" wrapText="1"/>
      <protection hidden="1"/>
    </xf>
    <xf numFmtId="168" fontId="28" fillId="19" borderId="42" xfId="0" applyNumberFormat="1" applyFont="1"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0" fontId="26" fillId="18" borderId="4" xfId="0" applyFont="1" applyFill="1" applyBorder="1" applyAlignment="1" applyProtection="1">
      <alignment horizontal="center" vertical="center"/>
      <protection hidden="1"/>
    </xf>
    <xf numFmtId="0" fontId="29" fillId="18" borderId="41" xfId="0" applyFont="1" applyFill="1" applyBorder="1" applyAlignment="1" applyProtection="1">
      <alignment horizontal="center" vertical="center"/>
      <protection hidden="1"/>
    </xf>
    <xf numFmtId="1" fontId="28" fillId="19" borderId="64" xfId="0" applyNumberFormat="1" applyFont="1" applyFill="1" applyBorder="1" applyAlignment="1" applyProtection="1">
      <alignment horizontal="center" vertical="center" wrapText="1"/>
      <protection hidden="1"/>
    </xf>
    <xf numFmtId="0" fontId="30" fillId="18" borderId="7" xfId="0" applyFont="1" applyFill="1" applyBorder="1" applyAlignment="1" applyProtection="1">
      <alignment horizontal="center" vertical="center"/>
      <protection hidden="1"/>
    </xf>
    <xf numFmtId="0" fontId="30" fillId="18" borderId="8" xfId="0" applyFont="1" applyFill="1" applyBorder="1" applyAlignment="1" applyProtection="1">
      <alignment horizontal="center" vertical="center"/>
      <protection hidden="1"/>
    </xf>
    <xf numFmtId="1" fontId="0" fillId="19" borderId="13" xfId="0" applyNumberFormat="1" applyFill="1" applyBorder="1" applyAlignment="1" applyProtection="1">
      <alignment horizontal="center" vertical="center" wrapText="1"/>
      <protection hidden="1"/>
    </xf>
    <xf numFmtId="0" fontId="28" fillId="18" borderId="51" xfId="0" applyFont="1" applyFill="1" applyBorder="1" applyAlignment="1" applyProtection="1">
      <alignment horizontal="center" vertical="center" wrapText="1"/>
      <protection hidden="1"/>
    </xf>
    <xf numFmtId="0" fontId="26" fillId="6" borderId="1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6" xfId="0" applyFont="1" applyFill="1" applyBorder="1" applyAlignment="1" applyProtection="1">
      <alignment horizontal="center" vertical="center"/>
      <protection hidden="1"/>
    </xf>
    <xf numFmtId="0" fontId="6" fillId="6" borderId="39"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3" fontId="28" fillId="20" borderId="45" xfId="0" applyNumberFormat="1" applyFont="1" applyFill="1" applyBorder="1" applyAlignment="1" applyProtection="1">
      <alignment horizontal="center" vertical="center" wrapText="1"/>
      <protection hidden="1"/>
    </xf>
    <xf numFmtId="0" fontId="0" fillId="20" borderId="48" xfId="0" applyFill="1" applyBorder="1" applyAlignment="1" applyProtection="1">
      <alignment horizontal="center" vertical="center" wrapText="1"/>
      <protection hidden="1"/>
    </xf>
    <xf numFmtId="14" fontId="28" fillId="19" borderId="42" xfId="0" applyNumberFormat="1" applyFont="1" applyFill="1" applyBorder="1" applyAlignment="1" applyProtection="1">
      <alignment horizontal="center" vertical="center" wrapText="1"/>
      <protection hidden="1"/>
    </xf>
    <xf numFmtId="49" fontId="28" fillId="21" borderId="54" xfId="0" applyNumberFormat="1" applyFont="1" applyFill="1" applyBorder="1" applyAlignment="1" applyProtection="1">
      <alignment horizontal="center" vertical="center" wrapText="1"/>
      <protection hidden="1"/>
    </xf>
    <xf numFmtId="0" fontId="25" fillId="12" borderId="22" xfId="0" applyFont="1" applyFill="1" applyBorder="1" applyAlignment="1" applyProtection="1">
      <alignment horizontal="center" vertical="center"/>
      <protection hidden="1"/>
    </xf>
    <xf numFmtId="0" fontId="25" fillId="12" borderId="31" xfId="0" applyFont="1" applyFill="1" applyBorder="1" applyAlignment="1" applyProtection="1">
      <alignment horizontal="center" vertical="center"/>
      <protection hidden="1"/>
    </xf>
    <xf numFmtId="0" fontId="25" fillId="12" borderId="23" xfId="0" applyFont="1" applyFill="1" applyBorder="1" applyAlignment="1" applyProtection="1">
      <alignment horizontal="center" vertical="center"/>
      <protection hidden="1"/>
    </xf>
    <xf numFmtId="0" fontId="25" fillId="12" borderId="21" xfId="0" applyFont="1" applyFill="1" applyBorder="1" applyAlignment="1" applyProtection="1">
      <alignment horizontal="center" vertical="center"/>
      <protection hidden="1"/>
    </xf>
    <xf numFmtId="0" fontId="25" fillId="12" borderId="40" xfId="0" applyFont="1" applyFill="1" applyBorder="1" applyAlignment="1" applyProtection="1">
      <alignment horizontal="center" vertical="center"/>
      <protection hidden="1"/>
    </xf>
    <xf numFmtId="0" fontId="25" fillId="12" borderId="6" xfId="0" applyFont="1" applyFill="1" applyBorder="1" applyAlignment="1" applyProtection="1">
      <alignment horizontal="center" vertical="center"/>
      <protection hidden="1"/>
    </xf>
    <xf numFmtId="0" fontId="25" fillId="12" borderId="14" xfId="0" applyFont="1" applyFill="1" applyBorder="1" applyAlignment="1" applyProtection="1">
      <alignment horizontal="center" vertical="center"/>
      <protection hidden="1"/>
    </xf>
    <xf numFmtId="0" fontId="25" fillId="12" borderId="15" xfId="0" applyFont="1" applyFill="1" applyBorder="1" applyAlignment="1" applyProtection="1">
      <alignment horizontal="center" vertical="center"/>
      <protection hidden="1"/>
    </xf>
    <xf numFmtId="0" fontId="25" fillId="12" borderId="16" xfId="0" applyFont="1" applyFill="1" applyBorder="1" applyAlignment="1" applyProtection="1">
      <alignment horizontal="center" vertical="center"/>
      <protection hidden="1"/>
    </xf>
    <xf numFmtId="0" fontId="16" fillId="6" borderId="43" xfId="0" applyFont="1" applyFill="1" applyBorder="1" applyAlignment="1" applyProtection="1">
      <alignment horizontal="center" vertical="center" wrapText="1"/>
      <protection hidden="1"/>
    </xf>
    <xf numFmtId="0" fontId="16" fillId="6" borderId="45" xfId="0" applyFont="1" applyFill="1" applyBorder="1" applyAlignment="1" applyProtection="1">
      <alignment horizontal="center" vertical="center" wrapText="1"/>
      <protection hidden="1"/>
    </xf>
    <xf numFmtId="2" fontId="13" fillId="6" borderId="57" xfId="0" applyNumberFormat="1" applyFont="1" applyFill="1" applyBorder="1" applyAlignment="1" applyProtection="1">
      <alignment horizontal="center" vertical="center" wrapText="1"/>
      <protection hidden="1"/>
    </xf>
    <xf numFmtId="2" fontId="13" fillId="6" borderId="25" xfId="0" applyNumberFormat="1" applyFont="1" applyFill="1" applyBorder="1" applyAlignment="1" applyProtection="1">
      <alignment horizontal="center" vertical="center" wrapText="1"/>
      <protection hidden="1"/>
    </xf>
    <xf numFmtId="2" fontId="7" fillId="6" borderId="19" xfId="0" applyNumberFormat="1" applyFont="1" applyFill="1" applyBorder="1" applyAlignment="1" applyProtection="1">
      <alignment horizontal="center" vertical="center"/>
      <protection hidden="1"/>
    </xf>
    <xf numFmtId="2" fontId="7" fillId="13" borderId="14" xfId="3" applyFont="1" applyBorder="1" applyAlignment="1" applyProtection="1">
      <alignment horizontal="center" vertical="center" wrapText="1"/>
      <protection locked="0" hidden="1"/>
    </xf>
    <xf numFmtId="2" fontId="7" fillId="13" borderId="16" xfId="3" applyFont="1" applyBorder="1" applyAlignment="1" applyProtection="1">
      <alignment horizontal="center" vertical="center" wrapText="1"/>
      <protection locked="0" hidden="1"/>
    </xf>
    <xf numFmtId="2" fontId="7" fillId="0" borderId="35" xfId="0" applyNumberFormat="1" applyFont="1" applyBorder="1" applyAlignment="1" applyProtection="1">
      <alignment horizontal="center"/>
      <protection hidden="1"/>
    </xf>
    <xf numFmtId="2" fontId="43" fillId="0" borderId="22" xfId="0" applyNumberFormat="1" applyFont="1" applyFill="1" applyBorder="1" applyAlignment="1" applyProtection="1">
      <alignment horizontal="center" vertical="center" wrapText="1"/>
      <protection hidden="1"/>
    </xf>
    <xf numFmtId="2" fontId="43" fillId="0" borderId="31" xfId="0" applyNumberFormat="1" applyFont="1" applyFill="1" applyBorder="1" applyAlignment="1" applyProtection="1">
      <alignment horizontal="center" vertical="center" wrapText="1"/>
      <protection hidden="1"/>
    </xf>
    <xf numFmtId="2" fontId="43" fillId="0" borderId="23" xfId="0" applyNumberFormat="1" applyFont="1" applyFill="1" applyBorder="1" applyAlignment="1" applyProtection="1">
      <alignment horizontal="center" vertical="center" wrapText="1"/>
      <protection hidden="1"/>
    </xf>
    <xf numFmtId="2" fontId="43" fillId="0" borderId="24" xfId="0" applyNumberFormat="1" applyFont="1" applyFill="1" applyBorder="1" applyAlignment="1" applyProtection="1">
      <alignment horizontal="center" vertical="center" wrapText="1"/>
      <protection hidden="1"/>
    </xf>
    <xf numFmtId="2" fontId="43" fillId="0" borderId="0" xfId="0" applyNumberFormat="1" applyFont="1" applyFill="1" applyBorder="1" applyAlignment="1" applyProtection="1">
      <alignment horizontal="center" vertical="center" wrapText="1"/>
      <protection hidden="1"/>
    </xf>
    <xf numFmtId="2" fontId="43" fillId="0" borderId="38" xfId="0" applyNumberFormat="1" applyFont="1" applyFill="1" applyBorder="1" applyAlignment="1" applyProtection="1">
      <alignment horizontal="center" vertical="center" wrapText="1"/>
      <protection hidden="1"/>
    </xf>
    <xf numFmtId="2" fontId="43" fillId="0" borderId="21" xfId="0" applyNumberFormat="1" applyFont="1" applyFill="1" applyBorder="1" applyAlignment="1" applyProtection="1">
      <alignment horizontal="center" vertical="center" wrapText="1"/>
      <protection hidden="1"/>
    </xf>
    <xf numFmtId="2" fontId="43" fillId="0" borderId="40" xfId="0" applyNumberFormat="1" applyFont="1" applyFill="1" applyBorder="1" applyAlignment="1" applyProtection="1">
      <alignment horizontal="center" vertical="center" wrapText="1"/>
      <protection hidden="1"/>
    </xf>
    <xf numFmtId="2" fontId="43" fillId="0" borderId="6" xfId="0" applyNumberFormat="1" applyFont="1" applyFill="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17" fillId="6" borderId="22" xfId="0" applyNumberFormat="1" applyFont="1" applyFill="1" applyBorder="1" applyAlignment="1" applyProtection="1">
      <alignment horizontal="center" vertical="center" wrapText="1"/>
      <protection hidden="1"/>
    </xf>
    <xf numFmtId="2" fontId="17" fillId="6" borderId="24" xfId="0" applyNumberFormat="1" applyFont="1" applyFill="1" applyBorder="1" applyAlignment="1" applyProtection="1">
      <alignment horizontal="center" vertical="center" wrapText="1"/>
      <protection hidden="1"/>
    </xf>
    <xf numFmtId="2" fontId="51" fillId="6" borderId="33" xfId="0" applyNumberFormat="1" applyFont="1" applyFill="1" applyBorder="1" applyAlignment="1" applyProtection="1">
      <alignment horizontal="center" vertical="center"/>
      <protection hidden="1"/>
    </xf>
    <xf numFmtId="2" fontId="51" fillId="6" borderId="56" xfId="0" applyNumberFormat="1" applyFont="1" applyFill="1" applyBorder="1" applyAlignment="1" applyProtection="1">
      <alignment horizontal="center" vertical="center"/>
      <protection hidden="1"/>
    </xf>
    <xf numFmtId="2" fontId="52" fillId="3" borderId="61" xfId="0" applyNumberFormat="1" applyFont="1" applyFill="1" applyBorder="1" applyAlignment="1" applyProtection="1">
      <alignment horizontal="center" vertical="center"/>
      <protection hidden="1"/>
    </xf>
    <xf numFmtId="2" fontId="19" fillId="3" borderId="72" xfId="0" applyNumberFormat="1" applyFont="1" applyFill="1" applyBorder="1" applyAlignment="1" applyProtection="1">
      <alignment horizontal="center" vertical="center"/>
      <protection hidden="1"/>
    </xf>
    <xf numFmtId="2" fontId="19" fillId="3" borderId="65" xfId="0" applyNumberFormat="1" applyFont="1" applyFill="1" applyBorder="1" applyAlignment="1" applyProtection="1">
      <alignment horizontal="center" vertical="center"/>
      <protection hidden="1"/>
    </xf>
    <xf numFmtId="2" fontId="17" fillId="6" borderId="5" xfId="0" applyNumberFormat="1" applyFont="1" applyFill="1" applyBorder="1" applyAlignment="1" applyProtection="1">
      <alignment horizontal="center" vertical="center"/>
      <protection hidden="1"/>
    </xf>
    <xf numFmtId="2" fontId="17" fillId="6" borderId="32" xfId="0" applyNumberFormat="1" applyFont="1" applyFill="1" applyBorder="1" applyAlignment="1" applyProtection="1">
      <alignment horizontal="center" vertical="center"/>
      <protection hidden="1"/>
    </xf>
    <xf numFmtId="2" fontId="8" fillId="6" borderId="41" xfId="2" applyNumberFormat="1" applyFont="1" applyFill="1" applyBorder="1" applyAlignment="1" applyProtection="1">
      <alignment horizontal="center" vertical="center"/>
      <protection locked="0" hidden="1"/>
    </xf>
    <xf numFmtId="2" fontId="8" fillId="6" borderId="42" xfId="2" applyNumberFormat="1" applyFont="1" applyFill="1" applyBorder="1" applyAlignment="1" applyProtection="1">
      <alignment horizontal="center" vertical="center"/>
      <protection locked="0" hidden="1"/>
    </xf>
    <xf numFmtId="2" fontId="8" fillId="6" borderId="63" xfId="2" applyNumberFormat="1" applyFont="1" applyFill="1" applyBorder="1" applyAlignment="1" applyProtection="1">
      <alignment horizontal="center" vertical="center" wrapText="1"/>
      <protection hidden="1"/>
    </xf>
    <xf numFmtId="2" fontId="8" fillId="6" borderId="13" xfId="2"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wrapText="1"/>
      <protection hidden="1"/>
    </xf>
    <xf numFmtId="2" fontId="51" fillId="8" borderId="15" xfId="0" applyNumberFormat="1" applyFont="1" applyFill="1" applyBorder="1" applyAlignment="1" applyProtection="1">
      <alignment horizontal="center" vertical="center" wrapText="1"/>
      <protection hidden="1"/>
    </xf>
    <xf numFmtId="2" fontId="51" fillId="8" borderId="16" xfId="0" applyNumberFormat="1" applyFont="1" applyFill="1" applyBorder="1" applyAlignment="1" applyProtection="1">
      <alignment horizontal="center" vertical="center" wrapText="1"/>
      <protection hidden="1"/>
    </xf>
    <xf numFmtId="2" fontId="13" fillId="6" borderId="14" xfId="0" applyNumberFormat="1" applyFont="1" applyFill="1" applyBorder="1" applyAlignment="1" applyProtection="1">
      <alignment horizontal="center" vertical="center"/>
      <protection hidden="1"/>
    </xf>
    <xf numFmtId="2" fontId="13" fillId="6" borderId="16" xfId="0" applyNumberFormat="1" applyFont="1" applyFill="1" applyBorder="1" applyAlignment="1" applyProtection="1">
      <alignment horizontal="center" vertical="center"/>
      <protection hidden="1"/>
    </xf>
    <xf numFmtId="2" fontId="59" fillId="9" borderId="60" xfId="0" applyNumberFormat="1" applyFont="1" applyFill="1" applyBorder="1" applyAlignment="1" applyProtection="1">
      <alignment horizontal="center" vertical="center"/>
      <protection hidden="1"/>
    </xf>
    <xf numFmtId="2" fontId="59" fillId="9" borderId="67" xfId="0" applyNumberFormat="1" applyFont="1" applyFill="1" applyBorder="1" applyAlignment="1" applyProtection="1">
      <alignment horizontal="center" vertical="center"/>
      <protection hidden="1"/>
    </xf>
    <xf numFmtId="2" fontId="13" fillId="6" borderId="22" xfId="0" applyNumberFormat="1" applyFont="1" applyFill="1" applyBorder="1" applyAlignment="1" applyProtection="1">
      <alignment horizontal="center" vertical="center" wrapText="1"/>
      <protection hidden="1"/>
    </xf>
    <xf numFmtId="2" fontId="13" fillId="6" borderId="23" xfId="0" applyNumberFormat="1" applyFont="1" applyFill="1" applyBorder="1" applyAlignment="1" applyProtection="1">
      <alignment horizontal="center" vertical="center" wrapText="1"/>
      <protection hidden="1"/>
    </xf>
    <xf numFmtId="2" fontId="13" fillId="6" borderId="14" xfId="0" applyNumberFormat="1" applyFont="1" applyFill="1" applyBorder="1" applyAlignment="1" applyProtection="1">
      <alignment horizontal="center" vertical="center" wrapText="1"/>
      <protection hidden="1"/>
    </xf>
    <xf numFmtId="2" fontId="13" fillId="6" borderId="16" xfId="0"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protection hidden="1"/>
    </xf>
    <xf numFmtId="2" fontId="25" fillId="8" borderId="15" xfId="0" applyNumberFormat="1" applyFont="1" applyFill="1" applyBorder="1" applyAlignment="1" applyProtection="1">
      <alignment horizontal="center" vertical="center"/>
      <protection hidden="1"/>
    </xf>
    <xf numFmtId="2" fontId="25" fillId="8" borderId="16" xfId="0" applyNumberFormat="1" applyFont="1" applyFill="1" applyBorder="1" applyAlignment="1" applyProtection="1">
      <alignment horizontal="center" vertical="center"/>
      <protection hidden="1"/>
    </xf>
    <xf numFmtId="2" fontId="25" fillId="8" borderId="15" xfId="0" applyNumberFormat="1" applyFont="1" applyFill="1" applyBorder="1" applyAlignment="1" applyProtection="1">
      <alignment horizontal="center" vertical="center" wrapText="1"/>
      <protection hidden="1"/>
    </xf>
    <xf numFmtId="2" fontId="25" fillId="8" borderId="16" xfId="0" applyNumberFormat="1" applyFont="1" applyFill="1" applyBorder="1" applyAlignment="1" applyProtection="1">
      <alignment horizontal="center" vertical="center" wrapText="1"/>
      <protection hidden="1"/>
    </xf>
    <xf numFmtId="168" fontId="7" fillId="9" borderId="19" xfId="0" applyNumberFormat="1" applyFont="1" applyFill="1" applyBorder="1" applyAlignment="1" applyProtection="1">
      <alignment horizontal="center" vertical="center"/>
      <protection hidden="1"/>
    </xf>
    <xf numFmtId="168" fontId="7" fillId="9" borderId="66" xfId="0" applyNumberFormat="1" applyFont="1" applyFill="1" applyBorder="1" applyAlignment="1" applyProtection="1">
      <alignment horizontal="center" vertical="center"/>
      <protection hidden="1"/>
    </xf>
    <xf numFmtId="0" fontId="25" fillId="3" borderId="22" xfId="0" applyFont="1" applyFill="1" applyBorder="1" applyAlignment="1" applyProtection="1">
      <alignment horizontal="center" vertical="center"/>
      <protection hidden="1"/>
    </xf>
    <xf numFmtId="0" fontId="25" fillId="3" borderId="31" xfId="0" applyFont="1" applyFill="1" applyBorder="1" applyAlignment="1" applyProtection="1">
      <alignment horizontal="center" vertical="center"/>
      <protection hidden="1"/>
    </xf>
    <xf numFmtId="0" fontId="25" fillId="3" borderId="23" xfId="0" applyFont="1" applyFill="1" applyBorder="1" applyAlignment="1" applyProtection="1">
      <alignment horizontal="center" vertical="center"/>
      <protection hidden="1"/>
    </xf>
    <xf numFmtId="1" fontId="7"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4" fillId="16" borderId="8" xfId="0" applyFont="1" applyFill="1" applyBorder="1" applyAlignment="1" applyProtection="1">
      <alignment horizontal="center" vertical="center" wrapText="1"/>
      <protection hidden="1"/>
    </xf>
    <xf numFmtId="2" fontId="7" fillId="6" borderId="14"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wrapText="1"/>
      <protection hidden="1"/>
    </xf>
    <xf numFmtId="2" fontId="13" fillId="6" borderId="32" xfId="0"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protection hidden="1"/>
    </xf>
    <xf numFmtId="2" fontId="8" fillId="6" borderId="12" xfId="2" applyNumberFormat="1" applyFont="1" applyFill="1" applyBorder="1" applyAlignment="1" applyProtection="1">
      <alignment horizontal="center" vertical="center"/>
      <protection hidden="1"/>
    </xf>
    <xf numFmtId="2" fontId="7" fillId="9" borderId="60" xfId="0" applyNumberFormat="1" applyFont="1" applyFill="1" applyBorder="1" applyAlignment="1" applyProtection="1">
      <alignment horizontal="center" vertical="center"/>
      <protection hidden="1"/>
    </xf>
    <xf numFmtId="2" fontId="7" fillId="9" borderId="67" xfId="0" applyNumberFormat="1" applyFont="1" applyFill="1" applyBorder="1" applyAlignment="1" applyProtection="1">
      <alignment horizontal="center" vertical="center"/>
      <protection hidden="1"/>
    </xf>
    <xf numFmtId="2" fontId="7" fillId="6" borderId="62" xfId="0" applyNumberFormat="1" applyFont="1" applyFill="1" applyBorder="1" applyAlignment="1" applyProtection="1">
      <alignment horizontal="center"/>
      <protection hidden="1"/>
    </xf>
    <xf numFmtId="2" fontId="7" fillId="6" borderId="19" xfId="0" applyNumberFormat="1" applyFont="1" applyFill="1" applyBorder="1" applyAlignment="1" applyProtection="1">
      <alignment horizontal="center"/>
      <protection hidden="1"/>
    </xf>
    <xf numFmtId="2" fontId="7" fillId="6" borderId="66" xfId="0" applyNumberFormat="1" applyFont="1" applyFill="1" applyBorder="1" applyAlignment="1" applyProtection="1">
      <alignment horizontal="center"/>
      <protection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8" fillId="6" borderId="58" xfId="0" applyNumberFormat="1" applyFont="1" applyFill="1" applyBorder="1" applyAlignment="1" applyProtection="1">
      <alignment horizontal="center" vertical="center"/>
      <protection hidden="1"/>
    </xf>
    <xf numFmtId="2" fontId="8" fillId="6" borderId="51" xfId="0" applyNumberFormat="1" applyFont="1" applyFill="1" applyBorder="1" applyAlignment="1" applyProtection="1">
      <alignment horizontal="center" vertical="center"/>
      <protection hidden="1"/>
    </xf>
    <xf numFmtId="2" fontId="8" fillId="6" borderId="59"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25" fillId="3" borderId="22" xfId="0" applyNumberFormat="1" applyFont="1" applyFill="1" applyBorder="1" applyAlignment="1" applyProtection="1">
      <alignment horizontal="center" vertical="center"/>
      <protection hidden="1"/>
    </xf>
    <xf numFmtId="2" fontId="25" fillId="3" borderId="31" xfId="0" applyNumberFormat="1" applyFont="1" applyFill="1" applyBorder="1" applyAlignment="1" applyProtection="1">
      <alignment horizontal="center" vertical="center"/>
      <protection hidden="1"/>
    </xf>
    <xf numFmtId="2" fontId="25" fillId="3" borderId="23" xfId="0" applyNumberFormat="1" applyFont="1" applyFill="1" applyBorder="1" applyAlignment="1" applyProtection="1">
      <alignment horizontal="center" vertical="center"/>
      <protection hidden="1"/>
    </xf>
    <xf numFmtId="2" fontId="25" fillId="3" borderId="24" xfId="0" applyNumberFormat="1" applyFont="1" applyFill="1" applyBorder="1" applyAlignment="1" applyProtection="1">
      <alignment horizontal="center" vertical="center"/>
      <protection hidden="1"/>
    </xf>
    <xf numFmtId="2" fontId="25" fillId="3" borderId="0" xfId="0" applyNumberFormat="1" applyFont="1" applyFill="1" applyBorder="1" applyAlignment="1" applyProtection="1">
      <alignment horizontal="center" vertical="center"/>
      <protection hidden="1"/>
    </xf>
    <xf numFmtId="2" fontId="25" fillId="3" borderId="38" xfId="0" applyNumberFormat="1" applyFont="1" applyFill="1" applyBorder="1" applyAlignment="1" applyProtection="1">
      <alignment horizontal="center" vertical="center"/>
      <protection hidden="1"/>
    </xf>
    <xf numFmtId="2" fontId="7" fillId="2" borderId="22" xfId="0" applyNumberFormat="1" applyFont="1" applyFill="1" applyBorder="1" applyAlignment="1" applyProtection="1">
      <alignment horizontal="left" vertical="top" wrapText="1"/>
      <protection locked="0" hidden="1"/>
    </xf>
    <xf numFmtId="2" fontId="7" fillId="2" borderId="31" xfId="0" applyNumberFormat="1" applyFont="1" applyFill="1" applyBorder="1" applyAlignment="1" applyProtection="1">
      <alignment horizontal="left" vertical="top" wrapText="1"/>
      <protection locked="0" hidden="1"/>
    </xf>
    <xf numFmtId="2" fontId="7" fillId="2" borderId="23" xfId="0" applyNumberFormat="1" applyFont="1" applyFill="1" applyBorder="1" applyAlignment="1" applyProtection="1">
      <alignment horizontal="left" vertical="top" wrapText="1"/>
      <protection locked="0" hidden="1"/>
    </xf>
    <xf numFmtId="2" fontId="7" fillId="2" borderId="24" xfId="0" applyNumberFormat="1" applyFont="1" applyFill="1" applyBorder="1" applyAlignment="1" applyProtection="1">
      <alignment horizontal="left" vertical="top" wrapText="1"/>
      <protection locked="0" hidden="1"/>
    </xf>
    <xf numFmtId="2" fontId="7" fillId="2" borderId="0" xfId="0" applyNumberFormat="1" applyFont="1" applyFill="1" applyBorder="1" applyAlignment="1" applyProtection="1">
      <alignment horizontal="left" vertical="top" wrapText="1"/>
      <protection locked="0" hidden="1"/>
    </xf>
    <xf numFmtId="2" fontId="7" fillId="2" borderId="38" xfId="0" applyNumberFormat="1" applyFont="1" applyFill="1" applyBorder="1" applyAlignment="1" applyProtection="1">
      <alignment horizontal="left" vertical="top" wrapText="1"/>
      <protection locked="0" hidden="1"/>
    </xf>
    <xf numFmtId="2" fontId="7" fillId="2" borderId="21" xfId="0" applyNumberFormat="1" applyFont="1" applyFill="1" applyBorder="1" applyAlignment="1" applyProtection="1">
      <alignment horizontal="left" vertical="top" wrapText="1"/>
      <protection locked="0" hidden="1"/>
    </xf>
    <xf numFmtId="2" fontId="7" fillId="2" borderId="40" xfId="0" applyNumberFormat="1" applyFont="1" applyFill="1" applyBorder="1" applyAlignment="1" applyProtection="1">
      <alignment horizontal="left" vertical="top" wrapText="1"/>
      <protection locked="0" hidden="1"/>
    </xf>
    <xf numFmtId="2" fontId="7" fillId="2" borderId="6" xfId="0" applyNumberFormat="1" applyFont="1" applyFill="1" applyBorder="1" applyAlignment="1" applyProtection="1">
      <alignment horizontal="left" vertical="top" wrapText="1"/>
      <protection locked="0" hidden="1"/>
    </xf>
    <xf numFmtId="2" fontId="8" fillId="6" borderId="41" xfId="2" applyNumberFormat="1" applyFont="1" applyFill="1" applyBorder="1" applyAlignment="1" applyProtection="1">
      <alignment horizontal="center" vertical="center"/>
      <protection hidden="1"/>
    </xf>
    <xf numFmtId="2" fontId="8" fillId="6" borderId="2" xfId="2" applyNumberFormat="1" applyFont="1" applyFill="1" applyBorder="1" applyAlignment="1" applyProtection="1">
      <alignment horizontal="center" vertical="center"/>
      <protection hidden="1"/>
    </xf>
    <xf numFmtId="2" fontId="7" fillId="9" borderId="64" xfId="0" applyNumberFormat="1" applyFont="1" applyFill="1" applyBorder="1" applyAlignment="1" applyProtection="1">
      <alignment horizontal="center" vertical="center"/>
      <protection hidden="1"/>
    </xf>
    <xf numFmtId="2" fontId="7" fillId="9" borderId="39"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13" fillId="6" borderId="39" xfId="0" applyNumberFormat="1" applyFont="1" applyFill="1" applyBorder="1" applyAlignment="1" applyProtection="1">
      <alignment horizontal="center" vertical="center"/>
      <protection hidden="1"/>
    </xf>
    <xf numFmtId="2" fontId="8" fillId="6" borderId="4" xfId="2" applyNumberFormat="1" applyFont="1" applyFill="1" applyBorder="1" applyAlignment="1" applyProtection="1">
      <alignment horizontal="center" vertical="center"/>
      <protection hidden="1"/>
    </xf>
    <xf numFmtId="2" fontId="8" fillId="6" borderId="5" xfId="2" applyNumberFormat="1" applyFont="1" applyFill="1" applyBorder="1" applyAlignment="1" applyProtection="1">
      <alignment horizontal="center" vertical="center"/>
      <protection hidden="1"/>
    </xf>
    <xf numFmtId="2" fontId="8" fillId="6" borderId="1" xfId="2" applyNumberFormat="1" applyFont="1" applyFill="1" applyBorder="1" applyAlignment="1" applyProtection="1">
      <alignment horizontal="center" vertical="center"/>
      <protection hidden="1"/>
    </xf>
    <xf numFmtId="2" fontId="8" fillId="6" borderId="42" xfId="2" applyNumberFormat="1" applyFont="1" applyFill="1" applyBorder="1" applyAlignment="1" applyProtection="1">
      <alignment horizontal="center" vertical="center"/>
      <protection hidden="1"/>
    </xf>
    <xf numFmtId="2" fontId="7" fillId="9" borderId="19" xfId="0" applyNumberFormat="1" applyFont="1" applyFill="1" applyBorder="1" applyAlignment="1" applyProtection="1">
      <alignment horizontal="center" vertical="center"/>
      <protection hidden="1"/>
    </xf>
    <xf numFmtId="2" fontId="7" fillId="9" borderId="66" xfId="0" applyNumberFormat="1" applyFont="1" applyFill="1" applyBorder="1" applyAlignment="1" applyProtection="1">
      <alignment horizontal="center" vertical="center"/>
      <protection hidden="1"/>
    </xf>
    <xf numFmtId="1" fontId="7" fillId="9" borderId="19" xfId="0" applyNumberFormat="1" applyFont="1" applyFill="1" applyBorder="1" applyAlignment="1" applyProtection="1">
      <alignment horizontal="center" vertical="center"/>
      <protection hidden="1"/>
    </xf>
    <xf numFmtId="1" fontId="7" fillId="9" borderId="66" xfId="0" applyNumberFormat="1" applyFont="1" applyFill="1" applyBorder="1" applyAlignment="1" applyProtection="1">
      <alignment horizontal="center" vertical="center"/>
      <protection hidden="1"/>
    </xf>
    <xf numFmtId="2" fontId="36" fillId="6" borderId="7" xfId="0" applyNumberFormat="1" applyFont="1" applyFill="1" applyBorder="1" applyAlignment="1" applyProtection="1">
      <alignment horizontal="left" vertical="center" wrapText="1"/>
      <protection hidden="1"/>
    </xf>
    <xf numFmtId="2" fontId="36" fillId="6" borderId="8" xfId="0" applyNumberFormat="1" applyFont="1" applyFill="1" applyBorder="1" applyAlignment="1" applyProtection="1">
      <alignment horizontal="left" vertical="center" wrapText="1"/>
      <protection hidden="1"/>
    </xf>
    <xf numFmtId="2" fontId="8" fillId="6" borderId="62" xfId="2" applyNumberFormat="1" applyFont="1" applyFill="1" applyBorder="1" applyAlignment="1" applyProtection="1">
      <alignment horizontal="center" vertical="center"/>
      <protection hidden="1"/>
    </xf>
    <xf numFmtId="2" fontId="8" fillId="6" borderId="3" xfId="2" applyNumberFormat="1" applyFont="1" applyFill="1" applyBorder="1" applyAlignment="1" applyProtection="1">
      <alignment horizontal="center" vertical="center"/>
      <protection hidden="1"/>
    </xf>
    <xf numFmtId="2" fontId="8" fillId="6" borderId="62" xfId="2" applyNumberFormat="1" applyFont="1" applyFill="1" applyBorder="1" applyAlignment="1" applyProtection="1">
      <alignment horizontal="center" vertical="center" wrapText="1"/>
      <protection hidden="1"/>
    </xf>
    <xf numFmtId="2" fontId="8" fillId="6" borderId="3" xfId="2"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13" fillId="6" borderId="66" xfId="0" applyNumberFormat="1" applyFont="1" applyFill="1" applyBorder="1" applyAlignment="1" applyProtection="1">
      <alignment horizontal="center" vertical="center" wrapText="1"/>
      <protection hidden="1"/>
    </xf>
    <xf numFmtId="2" fontId="13" fillId="6" borderId="61" xfId="0" applyNumberFormat="1" applyFont="1" applyFill="1" applyBorder="1" applyAlignment="1" applyProtection="1">
      <alignment horizontal="center" vertical="center" wrapText="1"/>
      <protection hidden="1"/>
    </xf>
    <xf numFmtId="2" fontId="13" fillId="6" borderId="72" xfId="0" applyNumberFormat="1" applyFont="1" applyFill="1" applyBorder="1" applyAlignment="1" applyProtection="1">
      <alignment horizontal="center" vertical="center" wrapText="1"/>
      <protection hidden="1"/>
    </xf>
    <xf numFmtId="2" fontId="13" fillId="6" borderId="65" xfId="0" applyNumberFormat="1" applyFont="1" applyFill="1" applyBorder="1" applyAlignment="1" applyProtection="1">
      <alignment horizontal="center" vertical="center" wrapText="1"/>
      <protection hidden="1"/>
    </xf>
    <xf numFmtId="2" fontId="13" fillId="6" borderId="20"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2" fontId="13" fillId="6" borderId="2" xfId="0" applyNumberFormat="1" applyFont="1" applyFill="1" applyBorder="1" applyAlignment="1" applyProtection="1">
      <alignment horizontal="center" vertical="center" wrapText="1"/>
      <protection hidden="1"/>
    </xf>
    <xf numFmtId="0" fontId="9" fillId="6" borderId="60" xfId="0" applyFont="1" applyFill="1" applyBorder="1" applyAlignment="1" applyProtection="1">
      <alignment horizontal="center"/>
      <protection hidden="1"/>
    </xf>
    <xf numFmtId="0" fontId="9" fillId="6" borderId="72" xfId="0" applyFont="1" applyFill="1" applyBorder="1" applyAlignment="1" applyProtection="1">
      <alignment horizontal="center"/>
      <protection hidden="1"/>
    </xf>
    <xf numFmtId="0" fontId="9" fillId="6" borderId="19" xfId="0" applyFont="1" applyFill="1" applyBorder="1" applyAlignment="1" applyProtection="1">
      <alignment horizontal="center"/>
      <protection hidden="1"/>
    </xf>
    <xf numFmtId="2" fontId="25" fillId="3" borderId="21" xfId="0" applyNumberFormat="1" applyFont="1" applyFill="1" applyBorder="1" applyAlignment="1" applyProtection="1">
      <alignment horizontal="center" vertical="center"/>
      <protection hidden="1"/>
    </xf>
    <xf numFmtId="2" fontId="25" fillId="3" borderId="40" xfId="0" applyNumberFormat="1" applyFont="1" applyFill="1" applyBorder="1" applyAlignment="1" applyProtection="1">
      <alignment horizontal="center" vertical="center"/>
      <protection hidden="1"/>
    </xf>
    <xf numFmtId="2" fontId="25" fillId="3" borderId="6" xfId="0" applyNumberFormat="1" applyFont="1" applyFill="1" applyBorder="1" applyAlignment="1" applyProtection="1">
      <alignment horizontal="center" vertical="center"/>
      <protection hidden="1"/>
    </xf>
    <xf numFmtId="2" fontId="7" fillId="6" borderId="63" xfId="0" applyNumberFormat="1" applyFont="1" applyFill="1" applyBorder="1" applyAlignment="1" applyProtection="1">
      <alignment horizontal="center"/>
      <protection hidden="1"/>
    </xf>
    <xf numFmtId="2" fontId="7" fillId="6" borderId="60" xfId="0" applyNumberFormat="1" applyFont="1" applyFill="1" applyBorder="1" applyAlignment="1" applyProtection="1">
      <alignment horizontal="center"/>
      <protection hidden="1"/>
    </xf>
    <xf numFmtId="2" fontId="7" fillId="6" borderId="67" xfId="0" applyNumberFormat="1" applyFont="1" applyFill="1" applyBorder="1" applyAlignment="1" applyProtection="1">
      <alignment horizontal="center"/>
      <protection hidden="1"/>
    </xf>
    <xf numFmtId="2" fontId="7" fillId="6" borderId="9" xfId="0" applyNumberFormat="1" applyFont="1" applyFill="1" applyBorder="1" applyAlignment="1" applyProtection="1">
      <alignment horizontal="center"/>
      <protection hidden="1"/>
    </xf>
    <xf numFmtId="2" fontId="7" fillId="6" borderId="10" xfId="0" applyNumberFormat="1" applyFont="1" applyFill="1" applyBorder="1" applyAlignment="1" applyProtection="1">
      <alignment horizontal="center"/>
      <protection hidden="1"/>
    </xf>
    <xf numFmtId="2" fontId="7" fillId="6" borderId="11" xfId="0" applyNumberFormat="1" applyFont="1" applyFill="1" applyBorder="1" applyAlignment="1" applyProtection="1">
      <alignment horizontal="center"/>
      <protection hidden="1"/>
    </xf>
    <xf numFmtId="2" fontId="13" fillId="6" borderId="63" xfId="0" applyNumberFormat="1" applyFont="1" applyFill="1" applyBorder="1" applyAlignment="1" applyProtection="1">
      <alignment horizontal="center" vertical="center" wrapText="1"/>
      <protection hidden="1"/>
    </xf>
    <xf numFmtId="2" fontId="13" fillId="6" borderId="67" xfId="0" applyNumberFormat="1" applyFont="1" applyFill="1" applyBorder="1" applyAlignment="1" applyProtection="1">
      <alignment horizontal="center" vertical="center" wrapText="1"/>
      <protection hidden="1"/>
    </xf>
    <xf numFmtId="2" fontId="13" fillId="6" borderId="60"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center" vertical="center" wrapText="1"/>
      <protection hidden="1"/>
    </xf>
    <xf numFmtId="2" fontId="13" fillId="6" borderId="38" xfId="0" applyNumberFormat="1" applyFont="1" applyFill="1" applyBorder="1" applyAlignment="1" applyProtection="1">
      <alignment horizontal="center" vertical="center" wrapText="1"/>
      <protection hidden="1"/>
    </xf>
    <xf numFmtId="2" fontId="7" fillId="6" borderId="61" xfId="0" applyNumberFormat="1" applyFont="1" applyFill="1" applyBorder="1" applyAlignment="1" applyProtection="1">
      <alignment horizontal="center"/>
      <protection hidden="1"/>
    </xf>
    <xf numFmtId="2" fontId="7" fillId="6" borderId="72" xfId="0" applyNumberFormat="1" applyFont="1" applyFill="1" applyBorder="1" applyAlignment="1" applyProtection="1">
      <alignment horizontal="center"/>
      <protection hidden="1"/>
    </xf>
    <xf numFmtId="2" fontId="7" fillId="6" borderId="65" xfId="0" applyNumberFormat="1" applyFont="1" applyFill="1" applyBorder="1" applyAlignment="1" applyProtection="1">
      <alignment horizontal="center"/>
      <protection hidden="1"/>
    </xf>
    <xf numFmtId="2" fontId="4" fillId="6" borderId="4" xfId="0" applyNumberFormat="1" applyFont="1" applyFill="1" applyBorder="1" applyAlignment="1" applyProtection="1">
      <alignment horizontal="left" vertical="center" wrapText="1"/>
      <protection hidden="1"/>
    </xf>
    <xf numFmtId="2" fontId="4" fillId="6" borderId="5" xfId="0" applyNumberFormat="1" applyFont="1" applyFill="1" applyBorder="1" applyAlignment="1" applyProtection="1">
      <alignment horizontal="left" vertical="center" wrapText="1"/>
      <protection hidden="1"/>
    </xf>
    <xf numFmtId="2" fontId="17" fillId="11" borderId="9" xfId="0" applyNumberFormat="1" applyFont="1" applyFill="1" applyBorder="1" applyAlignment="1" applyProtection="1">
      <alignment horizontal="center" vertical="center"/>
      <protection hidden="1"/>
    </xf>
    <xf numFmtId="2" fontId="17" fillId="11" borderId="10" xfId="0" applyNumberFormat="1" applyFont="1" applyFill="1" applyBorder="1" applyAlignment="1" applyProtection="1">
      <alignment horizontal="center" vertical="center"/>
      <protection hidden="1"/>
    </xf>
    <xf numFmtId="2" fontId="17" fillId="11" borderId="11" xfId="0" applyNumberFormat="1" applyFont="1" applyFill="1" applyBorder="1" applyAlignment="1" applyProtection="1">
      <alignment horizontal="center" vertical="center"/>
      <protection hidden="1"/>
    </xf>
    <xf numFmtId="0" fontId="33" fillId="3" borderId="7" xfId="0" applyFont="1" applyFill="1" applyBorder="1" applyAlignment="1" applyProtection="1">
      <alignment horizontal="center" vertical="center" wrapText="1"/>
      <protection hidden="1"/>
    </xf>
    <xf numFmtId="0" fontId="33" fillId="3" borderId="8" xfId="0" applyFont="1" applyFill="1" applyBorder="1" applyAlignment="1" applyProtection="1">
      <alignment horizontal="center" vertical="center" wrapText="1"/>
      <protection hidden="1"/>
    </xf>
    <xf numFmtId="2" fontId="8" fillId="6" borderId="4" xfId="2" applyNumberFormat="1" applyFont="1" applyFill="1" applyBorder="1" applyAlignment="1" applyProtection="1">
      <alignment horizontal="center" vertical="center" wrapText="1"/>
      <protection hidden="1"/>
    </xf>
    <xf numFmtId="2" fontId="8" fillId="6" borderId="39" xfId="2" applyNumberFormat="1" applyFont="1" applyFill="1" applyBorder="1" applyAlignment="1" applyProtection="1">
      <alignment horizontal="center" vertical="center" wrapText="1"/>
      <protection hidden="1"/>
    </xf>
    <xf numFmtId="2" fontId="8" fillId="6" borderId="41"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wrapText="1"/>
      <protection hidden="1"/>
    </xf>
    <xf numFmtId="2" fontId="8" fillId="6" borderId="12" xfId="2" applyNumberFormat="1" applyFont="1" applyFill="1" applyBorder="1" applyAlignment="1" applyProtection="1">
      <alignment horizontal="center" vertical="center" wrapText="1"/>
      <protection hidden="1"/>
    </xf>
    <xf numFmtId="2" fontId="4" fillId="6" borderId="48" xfId="0" applyNumberFormat="1" applyFont="1" applyFill="1" applyBorder="1" applyAlignment="1" applyProtection="1">
      <alignment horizontal="left" vertical="center" wrapText="1"/>
      <protection hidden="1"/>
    </xf>
    <xf numFmtId="2" fontId="4" fillId="6" borderId="49" xfId="0" applyNumberFormat="1" applyFont="1" applyFill="1" applyBorder="1" applyAlignment="1" applyProtection="1">
      <alignment horizontal="left" vertical="center" wrapText="1"/>
      <protection hidden="1"/>
    </xf>
    <xf numFmtId="2" fontId="25" fillId="3" borderId="14" xfId="0" applyNumberFormat="1" applyFont="1" applyFill="1" applyBorder="1" applyAlignment="1" applyProtection="1">
      <alignment horizontal="center" vertical="center" wrapText="1"/>
      <protection hidden="1"/>
    </xf>
    <xf numFmtId="2" fontId="25" fillId="3" borderId="15" xfId="0" applyNumberFormat="1" applyFont="1" applyFill="1" applyBorder="1" applyAlignment="1" applyProtection="1">
      <alignment horizontal="center" vertical="center" wrapText="1"/>
      <protection hidden="1"/>
    </xf>
    <xf numFmtId="2" fontId="25" fillId="3" borderId="16" xfId="0" applyNumberFormat="1" applyFont="1" applyFill="1" applyBorder="1" applyAlignment="1" applyProtection="1">
      <alignment horizontal="center" vertical="center" wrapText="1"/>
      <protection hidden="1"/>
    </xf>
    <xf numFmtId="2" fontId="17" fillId="6" borderId="54" xfId="0" applyNumberFormat="1" applyFont="1" applyFill="1" applyBorder="1" applyAlignment="1" applyProtection="1">
      <alignment horizontal="center" vertical="center"/>
      <protection hidden="1"/>
    </xf>
    <xf numFmtId="2" fontId="17" fillId="6" borderId="30" xfId="0"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wrapText="1"/>
      <protection hidden="1"/>
    </xf>
    <xf numFmtId="2" fontId="9" fillId="6" borderId="8"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8" fillId="6" borderId="9" xfId="2" applyNumberFormat="1" applyFont="1" applyFill="1" applyBorder="1" applyAlignment="1" applyProtection="1">
      <alignment horizontal="center" vertical="center" wrapText="1"/>
      <protection hidden="1"/>
    </xf>
    <xf numFmtId="2" fontId="8" fillId="6" borderId="10" xfId="2" applyNumberFormat="1" applyFont="1" applyFill="1" applyBorder="1" applyAlignment="1" applyProtection="1">
      <alignment horizontal="center" vertical="center" wrapText="1"/>
      <protection hidden="1"/>
    </xf>
    <xf numFmtId="2" fontId="8" fillId="6" borderId="11" xfId="2"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6" fillId="13" borderId="33" xfId="3" applyFont="1" applyBorder="1" applyAlignment="1" applyProtection="1">
      <alignment horizontal="center" vertical="center"/>
      <protection locked="0" hidden="1"/>
    </xf>
    <xf numFmtId="2" fontId="6" fillId="13" borderId="34" xfId="3" applyFont="1" applyBorder="1" applyAlignment="1" applyProtection="1">
      <alignment horizontal="center" vertical="center"/>
      <protection locked="0" hidden="1"/>
    </xf>
    <xf numFmtId="2" fontId="8" fillId="6" borderId="22" xfId="2" applyNumberFormat="1" applyFont="1" applyFill="1" applyBorder="1" applyAlignment="1" applyProtection="1">
      <alignment horizontal="center" vertical="center" wrapText="1"/>
      <protection hidden="1"/>
    </xf>
    <xf numFmtId="2" fontId="8" fillId="6" borderId="31" xfId="2" applyNumberFormat="1" applyFont="1" applyFill="1" applyBorder="1" applyAlignment="1" applyProtection="1">
      <alignment horizontal="center" vertical="center" wrapText="1"/>
      <protection hidden="1"/>
    </xf>
    <xf numFmtId="2" fontId="8" fillId="6" borderId="21" xfId="2" applyNumberFormat="1" applyFont="1" applyFill="1" applyBorder="1" applyAlignment="1" applyProtection="1">
      <alignment horizontal="center" vertical="center" wrapText="1"/>
      <protection hidden="1"/>
    </xf>
    <xf numFmtId="2" fontId="8" fillId="6" borderId="40" xfId="2"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protection hidden="1"/>
    </xf>
    <xf numFmtId="2" fontId="8" fillId="6" borderId="24" xfId="2" applyNumberFormat="1" applyFont="1" applyFill="1" applyBorder="1" applyAlignment="1" applyProtection="1">
      <alignment horizontal="center"/>
      <protection hidden="1"/>
    </xf>
    <xf numFmtId="2" fontId="8" fillId="6" borderId="23" xfId="2" applyNumberFormat="1" applyFont="1" applyFill="1" applyBorder="1" applyAlignment="1" applyProtection="1">
      <alignment horizontal="center"/>
      <protection hidden="1"/>
    </xf>
    <xf numFmtId="2" fontId="8" fillId="6" borderId="0" xfId="2" applyNumberFormat="1" applyFont="1" applyFill="1" applyBorder="1" applyAlignment="1" applyProtection="1">
      <alignment horizontal="center"/>
      <protection hidden="1"/>
    </xf>
    <xf numFmtId="2" fontId="7"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wrapText="1"/>
      <protection hidden="1"/>
    </xf>
    <xf numFmtId="2" fontId="9" fillId="6" borderId="11" xfId="0" applyNumberFormat="1" applyFont="1" applyFill="1" applyBorder="1" applyAlignment="1" applyProtection="1">
      <alignment horizontal="center" vertical="center" wrapText="1"/>
      <protection hidden="1"/>
    </xf>
    <xf numFmtId="2" fontId="7" fillId="6" borderId="14" xfId="0" applyNumberFormat="1" applyFont="1" applyFill="1" applyBorder="1" applyAlignment="1" applyProtection="1">
      <alignment horizontal="center"/>
      <protection hidden="1"/>
    </xf>
    <xf numFmtId="2" fontId="7" fillId="6" borderId="15" xfId="0" applyNumberFormat="1" applyFont="1" applyFill="1" applyBorder="1" applyAlignment="1" applyProtection="1">
      <alignment horizontal="center"/>
      <protection hidden="1"/>
    </xf>
    <xf numFmtId="2" fontId="7" fillId="6" borderId="73" xfId="0" applyNumberFormat="1" applyFont="1" applyFill="1" applyBorder="1" applyAlignment="1" applyProtection="1">
      <alignment horizontal="center"/>
      <protection hidden="1"/>
    </xf>
    <xf numFmtId="0" fontId="44" fillId="8" borderId="14" xfId="0" applyFont="1" applyFill="1" applyBorder="1" applyAlignment="1" applyProtection="1">
      <alignment horizontal="center" vertical="center" wrapText="1"/>
      <protection hidden="1"/>
    </xf>
    <xf numFmtId="0" fontId="44" fillId="8" borderId="15" xfId="0" applyFont="1" applyFill="1" applyBorder="1" applyAlignment="1" applyProtection="1">
      <alignment horizontal="center" vertical="center" wrapText="1"/>
      <protection hidden="1"/>
    </xf>
    <xf numFmtId="0" fontId="44" fillId="8" borderId="16" xfId="0" applyFont="1" applyFill="1" applyBorder="1" applyAlignment="1" applyProtection="1">
      <alignment horizontal="center" vertical="center" wrapText="1"/>
      <protection hidden="1"/>
    </xf>
    <xf numFmtId="2" fontId="17" fillId="6" borderId="4" xfId="0" applyNumberFormat="1" applyFont="1" applyFill="1" applyBorder="1" applyAlignment="1" applyProtection="1">
      <alignment horizontal="center" vertical="center"/>
      <protection hidden="1"/>
    </xf>
    <xf numFmtId="2" fontId="17" fillId="6" borderId="45" xfId="0" applyNumberFormat="1" applyFont="1" applyFill="1" applyBorder="1" applyAlignment="1" applyProtection="1">
      <alignment horizontal="center" vertical="center"/>
      <protection hidden="1"/>
    </xf>
    <xf numFmtId="1" fontId="5" fillId="13" borderId="33" xfId="3" applyNumberFormat="1" applyFont="1" applyBorder="1" applyAlignment="1" applyProtection="1">
      <alignment horizontal="center" vertical="center" wrapText="1"/>
      <protection locked="0" hidden="1"/>
    </xf>
    <xf numFmtId="1" fontId="5" fillId="13" borderId="34" xfId="3" applyNumberFormat="1" applyFont="1" applyBorder="1" applyAlignment="1" applyProtection="1">
      <alignment horizontal="center" vertical="center" wrapText="1"/>
      <protection locked="0" hidden="1"/>
    </xf>
    <xf numFmtId="2" fontId="17" fillId="6" borderId="37" xfId="0" applyNumberFormat="1" applyFont="1" applyFill="1" applyBorder="1" applyAlignment="1" applyProtection="1">
      <alignment horizontal="center" vertical="center" wrapText="1"/>
      <protection hidden="1"/>
    </xf>
    <xf numFmtId="2" fontId="17" fillId="6" borderId="13" xfId="0" applyNumberFormat="1" applyFont="1" applyFill="1" applyBorder="1" applyAlignment="1" applyProtection="1">
      <alignment horizontal="center" vertical="center" wrapText="1"/>
      <protection hidden="1"/>
    </xf>
    <xf numFmtId="2" fontId="17" fillId="6" borderId="17" xfId="0" applyNumberFormat="1" applyFont="1" applyFill="1" applyBorder="1" applyAlignment="1" applyProtection="1">
      <alignment horizontal="center" vertical="center" wrapText="1"/>
      <protection hidden="1"/>
    </xf>
    <xf numFmtId="2" fontId="17" fillId="6" borderId="18" xfId="0" applyNumberFormat="1" applyFont="1" applyFill="1" applyBorder="1" applyAlignment="1" applyProtection="1">
      <alignment horizontal="center" vertical="center" wrapText="1"/>
      <protection hidden="1"/>
    </xf>
    <xf numFmtId="2" fontId="25" fillId="8" borderId="24" xfId="0" applyNumberFormat="1" applyFont="1" applyFill="1" applyBorder="1" applyAlignment="1" applyProtection="1">
      <alignment horizontal="center" vertical="center" wrapText="1"/>
      <protection hidden="1"/>
    </xf>
    <xf numFmtId="2" fontId="25" fillId="8" borderId="0" xfId="0" applyNumberFormat="1" applyFont="1" applyFill="1" applyBorder="1" applyAlignment="1" applyProtection="1">
      <alignment horizontal="center" vertical="center" wrapText="1"/>
      <protection hidden="1"/>
    </xf>
    <xf numFmtId="2" fontId="8" fillId="6" borderId="53" xfId="0" applyNumberFormat="1" applyFont="1" applyFill="1" applyBorder="1" applyAlignment="1" applyProtection="1">
      <alignment horizontal="center" vertical="center"/>
      <protection hidden="1"/>
    </xf>
    <xf numFmtId="2" fontId="8" fillId="6" borderId="26" xfId="0" applyNumberFormat="1" applyFont="1" applyFill="1" applyBorder="1" applyAlignment="1" applyProtection="1">
      <alignment horizontal="center" vertical="center"/>
      <protection hidden="1"/>
    </xf>
    <xf numFmtId="2" fontId="8" fillId="6" borderId="52" xfId="0" applyNumberFormat="1" applyFont="1" applyFill="1" applyBorder="1" applyAlignment="1" applyProtection="1">
      <alignment horizontal="center" vertical="center"/>
      <protection hidden="1"/>
    </xf>
    <xf numFmtId="2" fontId="46" fillId="6" borderId="14" xfId="0" applyNumberFormat="1" applyFont="1" applyFill="1" applyBorder="1" applyAlignment="1" applyProtection="1">
      <alignment horizontal="center" vertical="center" wrapText="1"/>
      <protection hidden="1"/>
    </xf>
    <xf numFmtId="2" fontId="46" fillId="6" borderId="16" xfId="0" applyNumberFormat="1" applyFont="1" applyFill="1" applyBorder="1" applyAlignment="1" applyProtection="1">
      <alignment horizontal="center" vertical="center" wrapText="1"/>
      <protection hidden="1"/>
    </xf>
    <xf numFmtId="2" fontId="4" fillId="6" borderId="14" xfId="0" applyNumberFormat="1" applyFont="1" applyFill="1" applyBorder="1" applyAlignment="1" applyProtection="1">
      <alignment horizontal="center" vertical="center" wrapText="1"/>
      <protection hidden="1"/>
    </xf>
    <xf numFmtId="2" fontId="4" fillId="6" borderId="16" xfId="0" applyNumberFormat="1" applyFont="1" applyFill="1" applyBorder="1" applyAlignment="1" applyProtection="1">
      <alignment horizontal="center" vertical="center" wrapText="1"/>
      <protection hidden="1"/>
    </xf>
    <xf numFmtId="2" fontId="8" fillId="6" borderId="64" xfId="2" applyNumberFormat="1" applyFont="1" applyFill="1" applyBorder="1" applyAlignment="1" applyProtection="1">
      <alignment horizontal="center" vertical="center" wrapText="1"/>
      <protection hidden="1"/>
    </xf>
    <xf numFmtId="2" fontId="8" fillId="6" borderId="45" xfId="2" applyNumberFormat="1" applyFont="1" applyFill="1" applyBorder="1" applyAlignment="1" applyProtection="1">
      <alignment horizontal="center" vertical="center" wrapText="1"/>
      <protection hidden="1"/>
    </xf>
    <xf numFmtId="2" fontId="22" fillId="3" borderId="14" xfId="0" applyNumberFormat="1" applyFont="1" applyFill="1" applyBorder="1" applyAlignment="1" applyProtection="1">
      <alignment horizontal="center" vertical="center"/>
      <protection hidden="1"/>
    </xf>
    <xf numFmtId="2" fontId="22" fillId="3" borderId="15" xfId="0" applyNumberFormat="1" applyFont="1" applyFill="1" applyBorder="1" applyAlignment="1" applyProtection="1">
      <alignment horizontal="center" vertical="center"/>
      <protection hidden="1"/>
    </xf>
    <xf numFmtId="2" fontId="22" fillId="3" borderId="16" xfId="0" applyNumberFormat="1" applyFont="1" applyFill="1" applyBorder="1" applyAlignment="1" applyProtection="1">
      <alignment horizontal="center" vertical="center"/>
      <protection hidden="1"/>
    </xf>
    <xf numFmtId="0" fontId="47" fillId="2" borderId="0" xfId="0" applyFont="1" applyFill="1" applyAlignment="1" applyProtection="1">
      <alignment horizontal="justify" vertical="center" wrapText="1"/>
      <protection locked="0" hidden="1"/>
    </xf>
    <xf numFmtId="169" fontId="16" fillId="2" borderId="14" xfId="0" applyNumberFormat="1" applyFont="1" applyFill="1" applyBorder="1" applyAlignment="1" applyProtection="1">
      <alignment horizontal="center" vertical="center" wrapText="1"/>
      <protection hidden="1"/>
    </xf>
    <xf numFmtId="169" fontId="16" fillId="2" borderId="73" xfId="0" applyNumberFormat="1" applyFont="1" applyFill="1" applyBorder="1" applyAlignment="1" applyProtection="1">
      <alignment horizontal="center" vertical="center" wrapText="1"/>
      <protection hidden="1"/>
    </xf>
    <xf numFmtId="169" fontId="28" fillId="2" borderId="61" xfId="0" applyNumberFormat="1" applyFont="1" applyFill="1" applyBorder="1" applyAlignment="1" applyProtection="1">
      <alignment horizontal="center" vertical="center" wrapText="1"/>
      <protection hidden="1"/>
    </xf>
    <xf numFmtId="169" fontId="28" fillId="2" borderId="64" xfId="0" applyNumberFormat="1" applyFont="1" applyFill="1" applyBorder="1" applyAlignment="1" applyProtection="1">
      <alignment horizontal="center" vertical="center" wrapText="1"/>
      <protection hidden="1"/>
    </xf>
    <xf numFmtId="169" fontId="28" fillId="2" borderId="63" xfId="0" applyNumberFormat="1" applyFont="1" applyFill="1" applyBorder="1" applyAlignment="1" applyProtection="1">
      <alignment horizontal="center" vertical="center" wrapText="1"/>
      <protection hidden="1"/>
    </xf>
    <xf numFmtId="169" fontId="28" fillId="2" borderId="13" xfId="0" applyNumberFormat="1" applyFont="1" applyFill="1" applyBorder="1" applyAlignment="1" applyProtection="1">
      <alignment horizontal="center" vertical="center" wrapText="1"/>
      <protection hidden="1"/>
    </xf>
    <xf numFmtId="2" fontId="26" fillId="2" borderId="14" xfId="0" applyNumberFormat="1" applyFont="1" applyFill="1" applyBorder="1" applyAlignment="1" applyProtection="1">
      <alignment horizontal="center" vertical="center" wrapText="1"/>
      <protection hidden="1"/>
    </xf>
    <xf numFmtId="2" fontId="26" fillId="2" borderId="15" xfId="0" applyNumberFormat="1" applyFont="1" applyFill="1" applyBorder="1" applyAlignment="1" applyProtection="1">
      <alignment horizontal="center" vertical="center" wrapText="1"/>
      <protection hidden="1"/>
    </xf>
    <xf numFmtId="0" fontId="47" fillId="2" borderId="0" xfId="0" applyFont="1" applyFill="1" applyAlignment="1" applyProtection="1">
      <alignment horizontal="justify" vertical="center" wrapText="1"/>
      <protection hidden="1"/>
    </xf>
    <xf numFmtId="1" fontId="9" fillId="0" borderId="62" xfId="0" applyNumberFormat="1" applyFont="1" applyBorder="1" applyAlignment="1" applyProtection="1">
      <alignment horizontal="center" vertical="center" wrapText="1"/>
      <protection hidden="1"/>
    </xf>
    <xf numFmtId="1" fontId="9" fillId="0" borderId="3" xfId="0" applyNumberFormat="1" applyFont="1" applyBorder="1" applyAlignment="1" applyProtection="1">
      <alignment horizontal="center" vertical="center" wrapText="1"/>
      <protection hidden="1"/>
    </xf>
    <xf numFmtId="1" fontId="9" fillId="0" borderId="63" xfId="0" applyNumberFormat="1" applyFont="1" applyBorder="1" applyAlignment="1" applyProtection="1">
      <alignment horizontal="center" vertical="center" wrapText="1"/>
      <protection hidden="1"/>
    </xf>
    <xf numFmtId="1" fontId="9" fillId="0" borderId="13" xfId="0" applyNumberFormat="1" applyFont="1" applyBorder="1" applyAlignment="1" applyProtection="1">
      <alignment horizontal="center" vertical="center" wrapText="1"/>
      <protection hidden="1"/>
    </xf>
    <xf numFmtId="2" fontId="8" fillId="2" borderId="35" xfId="0" applyNumberFormat="1" applyFont="1" applyFill="1" applyBorder="1" applyAlignment="1" applyProtection="1">
      <alignment horizontal="center" vertical="center" wrapText="1"/>
      <protection hidden="1"/>
    </xf>
    <xf numFmtId="0" fontId="9" fillId="2" borderId="43" xfId="0" applyNumberFormat="1" applyFont="1" applyFill="1" applyBorder="1" applyAlignment="1" applyProtection="1">
      <alignment horizontal="center" vertical="center" wrapText="1"/>
      <protection hidden="1"/>
    </xf>
    <xf numFmtId="0" fontId="9" fillId="2" borderId="20" xfId="0" applyNumberFormat="1" applyFont="1" applyFill="1" applyBorder="1" applyAlignment="1" applyProtection="1">
      <alignment horizontal="center" vertical="center" wrapText="1"/>
      <protection hidden="1"/>
    </xf>
    <xf numFmtId="0" fontId="47" fillId="2" borderId="0" xfId="0" applyFont="1" applyFill="1" applyBorder="1" applyAlignment="1" applyProtection="1">
      <alignment horizontal="justify" vertical="justify" wrapText="1"/>
      <protection locked="0" hidden="1"/>
    </xf>
    <xf numFmtId="0" fontId="9" fillId="2" borderId="17" xfId="0" applyNumberFormat="1" applyFont="1" applyFill="1" applyBorder="1" applyAlignment="1" applyProtection="1">
      <alignment horizontal="center" vertical="center" wrapText="1"/>
      <protection hidden="1"/>
    </xf>
    <xf numFmtId="0" fontId="9" fillId="2" borderId="18" xfId="0" applyNumberFormat="1" applyFont="1" applyFill="1" applyBorder="1" applyAlignment="1" applyProtection="1">
      <alignment horizontal="center" vertical="center" wrapText="1"/>
      <protection hidden="1"/>
    </xf>
    <xf numFmtId="186" fontId="9" fillId="2" borderId="62" xfId="0" applyNumberFormat="1" applyFont="1" applyFill="1" applyBorder="1" applyAlignment="1" applyProtection="1">
      <alignment horizontal="center" vertical="center" wrapText="1"/>
      <protection hidden="1"/>
    </xf>
    <xf numFmtId="186" fontId="9" fillId="2" borderId="3" xfId="0" applyNumberFormat="1" applyFont="1" applyFill="1" applyBorder="1" applyAlignment="1" applyProtection="1">
      <alignment horizontal="center" vertical="center" wrapText="1"/>
      <protection hidden="1"/>
    </xf>
    <xf numFmtId="186" fontId="9" fillId="2" borderId="63" xfId="0" applyNumberFormat="1" applyFont="1" applyFill="1" applyBorder="1" applyAlignment="1" applyProtection="1">
      <alignment horizontal="center" vertical="center" wrapText="1"/>
      <protection hidden="1"/>
    </xf>
    <xf numFmtId="186" fontId="9" fillId="2" borderId="13" xfId="0" applyNumberFormat="1" applyFont="1" applyFill="1" applyBorder="1" applyAlignment="1" applyProtection="1">
      <alignment horizontal="center" vertical="center" wrapText="1"/>
      <protection hidden="1"/>
    </xf>
    <xf numFmtId="186" fontId="9" fillId="2" borderId="41" xfId="0" applyNumberFormat="1" applyFont="1" applyFill="1" applyBorder="1" applyAlignment="1" applyProtection="1">
      <alignment horizontal="center" vertical="center" wrapText="1"/>
      <protection hidden="1"/>
    </xf>
    <xf numFmtId="186" fontId="9" fillId="2" borderId="1" xfId="0" applyNumberFormat="1" applyFont="1" applyFill="1" applyBorder="1" applyAlignment="1" applyProtection="1">
      <alignment horizontal="center" vertical="center" wrapText="1"/>
      <protection hidden="1"/>
    </xf>
    <xf numFmtId="1" fontId="29" fillId="0" borderId="63" xfId="0" applyNumberFormat="1" applyFont="1" applyBorder="1" applyAlignment="1" applyProtection="1">
      <alignment horizontal="center" vertical="center" wrapText="1"/>
      <protection hidden="1"/>
    </xf>
    <xf numFmtId="1" fontId="29" fillId="0" borderId="13" xfId="0" applyNumberFormat="1" applyFont="1" applyBorder="1" applyAlignment="1" applyProtection="1">
      <alignment horizontal="center" vertical="center" wrapText="1"/>
      <protection hidden="1"/>
    </xf>
    <xf numFmtId="2" fontId="8" fillId="0" borderId="14" xfId="0" applyNumberFormat="1" applyFont="1" applyBorder="1" applyAlignment="1" applyProtection="1">
      <alignment horizontal="center" vertical="center" wrapText="1"/>
      <protection hidden="1"/>
    </xf>
    <xf numFmtId="2" fontId="8" fillId="0" borderId="16" xfId="0" applyNumberFormat="1" applyFont="1" applyBorder="1" applyAlignment="1" applyProtection="1">
      <alignment horizontal="center" vertical="center" wrapText="1"/>
      <protection hidden="1"/>
    </xf>
    <xf numFmtId="0" fontId="8" fillId="0" borderId="14"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1" fontId="9" fillId="0" borderId="61" xfId="0" applyNumberFormat="1" applyFont="1" applyBorder="1" applyAlignment="1" applyProtection="1">
      <alignment horizontal="center" vertical="center" wrapText="1"/>
      <protection hidden="1"/>
    </xf>
    <xf numFmtId="1" fontId="9" fillId="0" borderId="64" xfId="0" applyNumberFormat="1" applyFont="1" applyBorder="1" applyAlignment="1" applyProtection="1">
      <alignment horizontal="center" vertical="center" wrapText="1"/>
      <protection hidden="1"/>
    </xf>
    <xf numFmtId="0" fontId="29" fillId="2" borderId="0" xfId="0" applyFont="1" applyFill="1" applyAlignment="1">
      <alignment horizontal="left" vertical="center" wrapText="1"/>
    </xf>
    <xf numFmtId="0" fontId="47" fillId="2" borderId="0" xfId="0" applyFont="1" applyFill="1" applyAlignment="1" applyProtection="1">
      <alignment horizontal="justify" vertical="justify" wrapText="1"/>
      <protection locked="0"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8" fillId="0" borderId="15" xfId="0" applyFont="1" applyBorder="1" applyAlignment="1" applyProtection="1">
      <alignment horizontal="center" vertical="center" wrapText="1"/>
      <protection hidden="1"/>
    </xf>
    <xf numFmtId="1" fontId="29" fillId="0" borderId="61" xfId="0" applyNumberFormat="1" applyFont="1" applyBorder="1" applyAlignment="1" applyProtection="1">
      <alignment horizontal="center" vertical="center" wrapText="1"/>
      <protection hidden="1"/>
    </xf>
    <xf numFmtId="1" fontId="29" fillId="0" borderId="64" xfId="0" applyNumberFormat="1" applyFont="1" applyBorder="1" applyAlignment="1" applyProtection="1">
      <alignment horizontal="center" vertical="center" wrapText="1"/>
      <protection hidden="1"/>
    </xf>
    <xf numFmtId="1" fontId="29" fillId="0" borderId="62" xfId="0" applyNumberFormat="1" applyFont="1" applyBorder="1" applyAlignment="1" applyProtection="1">
      <alignment horizontal="center" vertical="center" wrapText="1"/>
      <protection hidden="1"/>
    </xf>
    <xf numFmtId="1" fontId="29" fillId="0" borderId="3" xfId="0" applyNumberFormat="1" applyFont="1" applyBorder="1" applyAlignment="1" applyProtection="1">
      <alignment horizontal="center" vertical="center" wrapText="1"/>
      <protection hidden="1"/>
    </xf>
    <xf numFmtId="0" fontId="29" fillId="0" borderId="0" xfId="0" applyFont="1" applyAlignment="1" applyProtection="1">
      <alignment horizontal="center"/>
      <protection hidden="1"/>
    </xf>
    <xf numFmtId="0" fontId="29" fillId="0" borderId="0" xfId="0" applyFont="1" applyAlignment="1" applyProtection="1">
      <alignment horizontal="center" vertical="justify" wrapText="1"/>
      <protection hidden="1"/>
    </xf>
    <xf numFmtId="0" fontId="47" fillId="2" borderId="0" xfId="0" applyFont="1" applyFill="1" applyBorder="1" applyAlignment="1" applyProtection="1">
      <alignment horizontal="left" vertical="center" wrapText="1"/>
      <protection locked="0" hidden="1"/>
    </xf>
    <xf numFmtId="0" fontId="29" fillId="2" borderId="0" xfId="0" applyFont="1" applyFill="1" applyBorder="1" applyAlignment="1" applyProtection="1">
      <alignment horizontal="left" vertical="center" wrapText="1"/>
      <protection hidden="1"/>
    </xf>
    <xf numFmtId="0" fontId="26" fillId="2" borderId="0" xfId="0" applyFont="1" applyFill="1" applyBorder="1" applyAlignment="1" applyProtection="1">
      <alignment horizontal="left" vertical="center" wrapText="1"/>
      <protection hidden="1"/>
    </xf>
    <xf numFmtId="2" fontId="29" fillId="0" borderId="0" xfId="0" applyNumberFormat="1" applyFont="1" applyBorder="1" applyAlignment="1" applyProtection="1">
      <alignment horizontal="left" vertical="center" wrapText="1"/>
      <protection hidden="1"/>
    </xf>
    <xf numFmtId="14" fontId="29" fillId="2" borderId="0" xfId="0" applyNumberFormat="1" applyFont="1" applyFill="1" applyBorder="1" applyAlignment="1" applyProtection="1">
      <alignment horizontal="justify" vertical="center" wrapText="1"/>
      <protection hidden="1"/>
    </xf>
    <xf numFmtId="0" fontId="29" fillId="2" borderId="0" xfId="0" applyFont="1" applyFill="1" applyBorder="1" applyAlignment="1" applyProtection="1">
      <alignment horizontal="justify" vertical="center" wrapText="1"/>
      <protection hidden="1"/>
    </xf>
    <xf numFmtId="0" fontId="29" fillId="0" borderId="0" xfId="0" applyFont="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2" fontId="26" fillId="0" borderId="14" xfId="0" applyNumberFormat="1" applyFont="1" applyBorder="1" applyAlignment="1" applyProtection="1">
      <alignment horizontal="center" vertical="center" wrapText="1"/>
      <protection hidden="1"/>
    </xf>
    <xf numFmtId="2" fontId="26" fillId="0" borderId="16" xfId="0" applyNumberFormat="1" applyFont="1" applyBorder="1" applyAlignment="1" applyProtection="1">
      <alignment horizontal="center" vertical="center" wrapText="1"/>
      <protection hidden="1"/>
    </xf>
    <xf numFmtId="2" fontId="26" fillId="2" borderId="16" xfId="0" applyNumberFormat="1" applyFont="1" applyFill="1" applyBorder="1" applyAlignment="1" applyProtection="1">
      <alignment horizontal="center" vertical="center" wrapText="1"/>
      <protection hidden="1"/>
    </xf>
    <xf numFmtId="0" fontId="47" fillId="0" borderId="0" xfId="0" applyFont="1" applyBorder="1" applyAlignment="1" applyProtection="1">
      <alignment horizontal="justify" vertical="center" wrapText="1"/>
      <protection locked="0" hidden="1"/>
    </xf>
    <xf numFmtId="0" fontId="29" fillId="2" borderId="0" xfId="0" applyFont="1" applyFill="1" applyBorder="1" applyAlignment="1" applyProtection="1">
      <alignment horizontal="right" vertical="center" wrapText="1"/>
      <protection hidden="1"/>
    </xf>
    <xf numFmtId="14" fontId="29" fillId="2" borderId="0" xfId="0" applyNumberFormat="1" applyFont="1" applyFill="1" applyBorder="1" applyAlignment="1" applyProtection="1">
      <alignment horizontal="left" vertical="center" wrapText="1"/>
      <protection hidden="1"/>
    </xf>
    <xf numFmtId="14" fontId="29" fillId="2" borderId="0" xfId="0" applyNumberFormat="1" applyFont="1" applyFill="1" applyAlignment="1" applyProtection="1">
      <alignment horizontal="left" vertical="center" wrapText="1"/>
      <protection hidden="1"/>
    </xf>
    <xf numFmtId="0" fontId="8" fillId="2" borderId="9" xfId="0" applyFont="1" applyFill="1" applyBorder="1" applyAlignment="1" applyProtection="1">
      <alignment horizontal="center" vertical="center" wrapText="1"/>
      <protection hidden="1"/>
    </xf>
    <xf numFmtId="0" fontId="8" fillId="2" borderId="73"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left" vertical="center" wrapText="1"/>
      <protection hidden="1"/>
    </xf>
    <xf numFmtId="0" fontId="48" fillId="2" borderId="0" xfId="0" applyFont="1" applyFill="1" applyAlignment="1" applyProtection="1">
      <alignment horizontal="left" vertical="center" wrapText="1"/>
      <protection hidden="1"/>
    </xf>
    <xf numFmtId="0" fontId="26" fillId="2" borderId="14" xfId="0" applyFont="1" applyFill="1" applyBorder="1" applyAlignment="1" applyProtection="1">
      <alignment horizontal="left" vertical="center" wrapText="1"/>
      <protection hidden="1"/>
    </xf>
    <xf numFmtId="0" fontId="26" fillId="2" borderId="15" xfId="0" applyFont="1" applyFill="1" applyBorder="1" applyAlignment="1" applyProtection="1">
      <alignment horizontal="left" vertical="center" wrapText="1"/>
      <protection hidden="1"/>
    </xf>
    <xf numFmtId="0" fontId="26" fillId="2" borderId="16" xfId="0" applyFont="1" applyFill="1" applyBorder="1" applyAlignment="1" applyProtection="1">
      <alignment horizontal="left" vertical="center" wrapText="1"/>
      <protection hidden="1"/>
    </xf>
    <xf numFmtId="0" fontId="26" fillId="2" borderId="21" xfId="0" applyFont="1" applyFill="1" applyBorder="1" applyAlignment="1" applyProtection="1">
      <alignment horizontal="left" vertical="center" wrapText="1"/>
      <protection hidden="1"/>
    </xf>
    <xf numFmtId="0" fontId="26" fillId="2" borderId="40" xfId="0" applyFont="1" applyFill="1" applyBorder="1" applyAlignment="1" applyProtection="1">
      <alignment horizontal="left" vertical="center" wrapText="1"/>
      <protection hidden="1"/>
    </xf>
    <xf numFmtId="0" fontId="26" fillId="2" borderId="6" xfId="0" applyFont="1" applyFill="1" applyBorder="1" applyAlignment="1" applyProtection="1">
      <alignment horizontal="left" vertical="center" wrapText="1"/>
      <protection hidden="1"/>
    </xf>
    <xf numFmtId="2" fontId="29" fillId="2" borderId="14" xfId="0" applyNumberFormat="1" applyFont="1" applyFill="1" applyBorder="1" applyAlignment="1" applyProtection="1">
      <alignment horizontal="left" vertical="center" wrapText="1"/>
      <protection hidden="1"/>
    </xf>
    <xf numFmtId="2" fontId="29" fillId="2" borderId="16" xfId="0" applyNumberFormat="1" applyFont="1" applyFill="1" applyBorder="1" applyAlignment="1" applyProtection="1">
      <alignment horizontal="left" vertical="center" wrapText="1"/>
      <protection hidden="1"/>
    </xf>
    <xf numFmtId="0" fontId="29" fillId="2" borderId="14" xfId="0" applyFont="1" applyFill="1" applyBorder="1" applyAlignment="1" applyProtection="1">
      <alignment horizontal="left" vertical="center" wrapText="1"/>
      <protection hidden="1"/>
    </xf>
    <xf numFmtId="0" fontId="29" fillId="2" borderId="16" xfId="0" applyFont="1" applyFill="1" applyBorder="1" applyAlignment="1" applyProtection="1">
      <alignment horizontal="left" vertical="center" wrapText="1"/>
      <protection hidden="1"/>
    </xf>
    <xf numFmtId="1" fontId="29" fillId="2" borderId="14" xfId="0" applyNumberFormat="1" applyFont="1" applyFill="1" applyBorder="1" applyAlignment="1" applyProtection="1">
      <alignment horizontal="left" vertical="center" wrapText="1"/>
      <protection hidden="1"/>
    </xf>
    <xf numFmtId="1" fontId="29" fillId="2" borderId="16" xfId="0" applyNumberFormat="1" applyFont="1" applyFill="1" applyBorder="1" applyAlignment="1" applyProtection="1">
      <alignment horizontal="left" vertical="center" wrapText="1"/>
      <protection hidden="1"/>
    </xf>
    <xf numFmtId="168" fontId="29" fillId="2" borderId="14" xfId="0" applyNumberFormat="1" applyFont="1" applyFill="1" applyBorder="1" applyAlignment="1" applyProtection="1">
      <alignment horizontal="left" vertical="center" wrapText="1"/>
      <protection hidden="1"/>
    </xf>
    <xf numFmtId="168" fontId="29" fillId="2" borderId="16" xfId="0" applyNumberFormat="1" applyFont="1" applyFill="1" applyBorder="1" applyAlignment="1" applyProtection="1">
      <alignment horizontal="left" vertical="center" wrapText="1"/>
      <protection hidden="1"/>
    </xf>
    <xf numFmtId="168" fontId="26" fillId="2" borderId="14" xfId="0" applyNumberFormat="1" applyFont="1" applyFill="1" applyBorder="1" applyAlignment="1" applyProtection="1">
      <alignment horizontal="left" vertical="center" wrapText="1"/>
      <protection hidden="1"/>
    </xf>
    <xf numFmtId="168" fontId="26" fillId="2" borderId="16" xfId="0" applyNumberFormat="1" applyFont="1" applyFill="1" applyBorder="1" applyAlignment="1" applyProtection="1">
      <alignment horizontal="left" vertical="center" wrapText="1"/>
      <protection hidden="1"/>
    </xf>
    <xf numFmtId="0" fontId="26" fillId="0" borderId="22"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29" fillId="0" borderId="31"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0" fontId="26" fillId="2" borderId="0" xfId="0" applyFont="1" applyFill="1" applyAlignment="1" applyProtection="1">
      <alignment horizontal="left"/>
      <protection hidden="1"/>
    </xf>
    <xf numFmtId="0" fontId="8" fillId="0" borderId="14"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7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47" xfId="0" applyFont="1" applyBorder="1" applyAlignment="1" applyProtection="1">
      <alignment horizontal="center" vertical="center"/>
      <protection hidden="1"/>
    </xf>
    <xf numFmtId="169" fontId="29" fillId="0" borderId="0" xfId="0" applyNumberFormat="1" applyFont="1" applyBorder="1" applyAlignment="1" applyProtection="1">
      <alignment horizontal="center" vertical="center" wrapText="1"/>
      <protection hidden="1"/>
    </xf>
    <xf numFmtId="0" fontId="29" fillId="0" borderId="0" xfId="0" applyFont="1" applyFill="1" applyAlignment="1" applyProtection="1">
      <alignment horizontal="left" vertical="top" wrapText="1"/>
      <protection hidden="1"/>
    </xf>
    <xf numFmtId="0" fontId="47" fillId="2" borderId="0" xfId="0" applyFont="1" applyFill="1" applyAlignment="1">
      <alignment horizontal="justify" vertical="center" wrapText="1"/>
    </xf>
    <xf numFmtId="186" fontId="9" fillId="2" borderId="7" xfId="0" applyNumberFormat="1" applyFont="1" applyFill="1" applyBorder="1" applyAlignment="1" applyProtection="1">
      <alignment horizontal="center" vertical="center" wrapText="1"/>
      <protection hidden="1"/>
    </xf>
    <xf numFmtId="186" fontId="9" fillId="2" borderId="8" xfId="0" applyNumberFormat="1" applyFont="1" applyFill="1" applyBorder="1" applyAlignment="1" applyProtection="1">
      <alignment horizontal="center" vertical="center" wrapText="1"/>
      <protection hidden="1"/>
    </xf>
    <xf numFmtId="0" fontId="47" fillId="2" borderId="0" xfId="0" applyFont="1" applyFill="1" applyBorder="1" applyAlignment="1" applyProtection="1">
      <alignment horizontal="justify" vertical="center" wrapText="1"/>
      <protection locked="0" hidden="1"/>
    </xf>
    <xf numFmtId="0" fontId="26" fillId="0" borderId="0" xfId="0" applyFont="1" applyBorder="1" applyAlignment="1" applyProtection="1">
      <alignment horizontal="center"/>
      <protection hidden="1"/>
    </xf>
    <xf numFmtId="0" fontId="29" fillId="0" borderId="0" xfId="0" applyFont="1" applyAlignment="1" applyProtection="1">
      <alignment horizontal="right" vertical="center" wrapText="1"/>
      <protection hidden="1"/>
    </xf>
    <xf numFmtId="0" fontId="29" fillId="2" borderId="0" xfId="0" applyFont="1" applyFill="1" applyAlignment="1" applyProtection="1">
      <alignment horizontal="justify" vertical="center" wrapText="1"/>
      <protection locked="0" hidden="1"/>
    </xf>
    <xf numFmtId="0" fontId="29" fillId="0" borderId="0" xfId="0" applyFont="1" applyBorder="1" applyAlignment="1" applyProtection="1">
      <alignment horizontal="center"/>
      <protection hidden="1"/>
    </xf>
    <xf numFmtId="0" fontId="29" fillId="0" borderId="0" xfId="0" applyFont="1" applyAlignment="1" applyProtection="1">
      <alignment horizontal="center" vertical="center" wrapText="1"/>
      <protection hidden="1"/>
    </xf>
    <xf numFmtId="168" fontId="41" fillId="0" borderId="0" xfId="0" applyNumberFormat="1" applyFont="1" applyAlignment="1" applyProtection="1">
      <alignment horizontal="right" vertical="center"/>
      <protection hidden="1"/>
    </xf>
    <xf numFmtId="0" fontId="13" fillId="25" borderId="14" xfId="0" applyFont="1" applyFill="1" applyBorder="1" applyAlignment="1">
      <alignment horizontal="center"/>
    </xf>
    <xf numFmtId="0" fontId="13" fillId="25" borderId="15" xfId="0" applyFont="1" applyFill="1" applyBorder="1" applyAlignment="1">
      <alignment horizontal="center"/>
    </xf>
    <xf numFmtId="0" fontId="13" fillId="25" borderId="16" xfId="0" applyFont="1" applyFill="1" applyBorder="1" applyAlignment="1">
      <alignment horizontal="center"/>
    </xf>
    <xf numFmtId="0" fontId="13" fillId="0" borderId="22" xfId="0" applyFont="1" applyBorder="1" applyAlignment="1">
      <alignment horizontal="center"/>
    </xf>
    <xf numFmtId="0" fontId="13" fillId="0" borderId="31" xfId="0" applyFont="1" applyBorder="1" applyAlignment="1">
      <alignment horizontal="center"/>
    </xf>
    <xf numFmtId="0" fontId="13" fillId="0" borderId="23" xfId="0" applyFont="1" applyBorder="1" applyAlignment="1">
      <alignment horizontal="center"/>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69" fillId="0" borderId="14" xfId="0" applyFont="1" applyBorder="1" applyAlignment="1">
      <alignment horizontal="center" vertical="center"/>
    </xf>
    <xf numFmtId="0" fontId="69" fillId="0" borderId="15" xfId="0" applyFont="1" applyBorder="1" applyAlignment="1">
      <alignment horizontal="center" vertical="center"/>
    </xf>
    <xf numFmtId="0" fontId="69" fillId="0" borderId="16" xfId="0" applyFont="1" applyBorder="1" applyAlignment="1">
      <alignment horizontal="center" vertical="center"/>
    </xf>
    <xf numFmtId="0" fontId="16" fillId="0" borderId="33"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34" xfId="0" applyFont="1" applyBorder="1" applyAlignment="1">
      <alignment horizontal="center" vertical="center" wrapText="1"/>
    </xf>
    <xf numFmtId="170" fontId="0" fillId="0" borderId="32" xfId="0" applyNumberFormat="1" applyBorder="1" applyAlignment="1">
      <alignment horizontal="center" vertical="center"/>
    </xf>
    <xf numFmtId="170" fontId="0" fillId="0" borderId="26" xfId="0" applyNumberFormat="1" applyBorder="1" applyAlignment="1">
      <alignment horizontal="center" vertical="center"/>
    </xf>
    <xf numFmtId="170" fontId="0" fillId="0" borderId="49" xfId="0" applyNumberFormat="1" applyBorder="1" applyAlignment="1">
      <alignment horizontal="center" vertical="center"/>
    </xf>
    <xf numFmtId="170" fontId="0" fillId="25" borderId="32" xfId="0" applyNumberFormat="1" applyFill="1" applyBorder="1" applyAlignment="1">
      <alignment horizontal="center" vertical="center"/>
    </xf>
    <xf numFmtId="170" fontId="0" fillId="25" borderId="26" xfId="0" applyNumberFormat="1" applyFill="1" applyBorder="1" applyAlignment="1">
      <alignment horizontal="center" vertical="center"/>
    </xf>
    <xf numFmtId="170" fontId="0" fillId="25" borderId="49" xfId="0" applyNumberFormat="1" applyFill="1" applyBorder="1" applyAlignment="1">
      <alignment horizontal="center" vertical="center"/>
    </xf>
    <xf numFmtId="0" fontId="13" fillId="25" borderId="14" xfId="0" applyFont="1" applyFill="1" applyBorder="1" applyAlignment="1">
      <alignment horizontal="center" vertical="center" wrapText="1"/>
    </xf>
    <xf numFmtId="0" fontId="13" fillId="25" borderId="15" xfId="0" applyFont="1" applyFill="1" applyBorder="1" applyAlignment="1">
      <alignment horizontal="center" vertical="center" wrapText="1"/>
    </xf>
    <xf numFmtId="0" fontId="13" fillId="25" borderId="16" xfId="0" applyFont="1" applyFill="1" applyBorder="1" applyAlignment="1">
      <alignment horizontal="center" vertical="center" wrapText="1"/>
    </xf>
    <xf numFmtId="168" fontId="45" fillId="0" borderId="33" xfId="0" applyNumberFormat="1" applyFont="1" applyBorder="1" applyAlignment="1" applyProtection="1">
      <alignment horizontal="center" vertical="center"/>
      <protection locked="0"/>
    </xf>
    <xf numFmtId="168" fontId="45" fillId="0" borderId="56" xfId="0" applyNumberFormat="1" applyFont="1" applyBorder="1" applyAlignment="1" applyProtection="1">
      <alignment horizontal="center" vertical="center"/>
      <protection locked="0"/>
    </xf>
    <xf numFmtId="168" fontId="45" fillId="0" borderId="24" xfId="0" applyNumberFormat="1" applyFont="1" applyBorder="1" applyAlignment="1" applyProtection="1">
      <alignment horizontal="center" vertical="center"/>
      <protection locked="0"/>
    </xf>
    <xf numFmtId="168" fontId="45" fillId="0" borderId="21" xfId="0" applyNumberFormat="1" applyFont="1" applyBorder="1" applyAlignment="1" applyProtection="1">
      <alignment horizontal="center" vertical="center"/>
      <protection locked="0"/>
    </xf>
    <xf numFmtId="0" fontId="58" fillId="8" borderId="24"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47" fillId="2" borderId="0" xfId="0" applyFont="1" applyFill="1" applyAlignment="1" applyProtection="1">
      <alignment horizontal="left" vertical="center" wrapText="1"/>
      <protection locked="0" hidden="1"/>
    </xf>
    <xf numFmtId="186" fontId="9" fillId="2" borderId="66" xfId="0" applyNumberFormat="1" applyFont="1" applyFill="1" applyBorder="1" applyAlignment="1" applyProtection="1">
      <alignment horizontal="center" vertical="center" wrapText="1"/>
      <protection hidden="1"/>
    </xf>
    <xf numFmtId="186" fontId="9" fillId="2" borderId="67" xfId="0" applyNumberFormat="1" applyFont="1" applyFill="1" applyBorder="1" applyAlignment="1" applyProtection="1">
      <alignment horizontal="center" vertical="center" wrapText="1"/>
      <protection hidden="1"/>
    </xf>
    <xf numFmtId="186" fontId="9" fillId="2" borderId="12" xfId="0" applyNumberFormat="1" applyFont="1" applyFill="1" applyBorder="1" applyAlignment="1" applyProtection="1">
      <alignment horizontal="center" vertical="center" wrapText="1"/>
      <protection hidden="1"/>
    </xf>
    <xf numFmtId="0" fontId="9" fillId="2" borderId="61" xfId="0" applyNumberFormat="1" applyFont="1" applyFill="1" applyBorder="1" applyAlignment="1" applyProtection="1">
      <alignment horizontal="center" vertical="center" wrapText="1"/>
      <protection hidden="1"/>
    </xf>
    <xf numFmtId="0" fontId="9" fillId="2" borderId="65" xfId="0" applyNumberFormat="1" applyFont="1" applyFill="1" applyBorder="1" applyAlignment="1" applyProtection="1">
      <alignment horizontal="center" vertical="center" wrapText="1"/>
      <protection hidden="1"/>
    </xf>
    <xf numFmtId="0" fontId="9" fillId="2" borderId="44" xfId="0" applyNumberFormat="1" applyFont="1" applyFill="1" applyBorder="1" applyAlignment="1" applyProtection="1">
      <alignment horizontal="center" vertical="center" wrapText="1"/>
      <protection hidden="1"/>
    </xf>
    <xf numFmtId="186" fontId="9" fillId="2" borderId="42" xfId="0" applyNumberFormat="1" applyFont="1" applyFill="1" applyBorder="1" applyAlignment="1" applyProtection="1">
      <alignment horizontal="center" vertical="center" wrapText="1"/>
      <protection hidden="1"/>
    </xf>
    <xf numFmtId="0" fontId="29" fillId="2" borderId="0" xfId="0" applyFont="1" applyFill="1" applyBorder="1" applyAlignment="1" applyProtection="1">
      <alignment horizontal="left" vertical="center" wrapText="1"/>
      <protection locked="0" hidden="1"/>
    </xf>
  </cellXfs>
  <cellStyles count="5">
    <cellStyle name="Buena" xfId="2" builtinId="26"/>
    <cellStyle name="Estilo 1" xfId="3"/>
    <cellStyle name="Estilo 2" xfId="4"/>
    <cellStyle name="Normal" xfId="0" builtinId="0"/>
    <cellStyle name="Porcentaje" xfId="1" builtinId="5"/>
  </cellStyles>
  <dxfs count="1">
    <dxf>
      <font>
        <strike val="0"/>
        <color rgb="FF00B050"/>
      </font>
      <fill>
        <patternFill>
          <bgColor theme="4" tint="0.39994506668294322"/>
        </patternFill>
      </fill>
    </dxf>
  </dxfs>
  <tableStyles count="0" defaultTableStyle="TableStyleMedium2" defaultPivotStyle="PivotStyleLight16"/>
  <colors>
    <mruColors>
      <color rgb="FF8DB4E2"/>
      <color rgb="FFDDEBF7"/>
      <color rgb="FF1F4E78"/>
      <color rgb="FFCDD12F"/>
      <color rgb="FFF4B084"/>
      <color rgb="FFBDD7EE"/>
      <color rgb="FFB6FD03"/>
      <color rgb="FFACB9CA"/>
      <color rgb="FFAEAAAA"/>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microsoft.com/office/2011/relationships/chartStyle" Target="style18.xml"/><Relationship Id="rId2" Type="http://schemas.microsoft.com/office/2011/relationships/chartColorStyle" Target="colors18.xml"/><Relationship Id="rId1" Type="http://schemas.openxmlformats.org/officeDocument/2006/relationships/themeOverride" Target="../theme/themeOverride16.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'!$F$102:$F$104</c:f>
              <c:numCache>
                <c:formatCode>General</c:formatCode>
                <c:ptCount val="3"/>
                <c:pt idx="0">
                  <c:v>15.4</c:v>
                </c:pt>
                <c:pt idx="1">
                  <c:v>24.7</c:v>
                </c:pt>
                <c:pt idx="2" formatCode="0.0">
                  <c:v>29.4</c:v>
                </c:pt>
              </c:numCache>
            </c:numRef>
          </c:xVal>
          <c:yVal>
            <c:numRef>
              <c:f>'DATOS @ '!$H$102:$H$104</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72112128"/>
        <c:axId val="172122112"/>
      </c:scatterChart>
      <c:valAx>
        <c:axId val="1721121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2122112"/>
        <c:crosses val="autoZero"/>
        <c:crossBetween val="midCat"/>
      </c:valAx>
      <c:valAx>
        <c:axId val="1721221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21121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'!$F$134:$F$136</c:f>
              <c:numCache>
                <c:formatCode>General</c:formatCode>
                <c:ptCount val="3"/>
                <c:pt idx="0">
                  <c:v>15.5</c:v>
                </c:pt>
                <c:pt idx="1">
                  <c:v>24.6</c:v>
                </c:pt>
                <c:pt idx="2" formatCode="0.0">
                  <c:v>29.2</c:v>
                </c:pt>
              </c:numCache>
            </c:numRef>
          </c:xVal>
          <c:yVal>
            <c:numRef>
              <c:f>'DATOS @ '!$H$134:$H$136</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193141760"/>
        <c:axId val="193143552"/>
      </c:scatterChart>
      <c:valAx>
        <c:axId val="1931417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43552"/>
        <c:crosses val="autoZero"/>
        <c:crossBetween val="midCat"/>
      </c:valAx>
      <c:valAx>
        <c:axId val="1931435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417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'!$F$137:$F$139</c:f>
              <c:numCache>
                <c:formatCode>General</c:formatCode>
                <c:ptCount val="3"/>
                <c:pt idx="0">
                  <c:v>33.6</c:v>
                </c:pt>
                <c:pt idx="1">
                  <c:v>51.2</c:v>
                </c:pt>
                <c:pt idx="2">
                  <c:v>68.5</c:v>
                </c:pt>
              </c:numCache>
            </c:numRef>
          </c:xVal>
          <c:yVal>
            <c:numRef>
              <c:f>'DATOS @ '!$H$137:$H$139</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193198336"/>
        <c:axId val="193073152"/>
      </c:scatterChart>
      <c:valAx>
        <c:axId val="1931983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073152"/>
        <c:crosses val="autoZero"/>
        <c:crossBetween val="midCat"/>
      </c:valAx>
      <c:valAx>
        <c:axId val="1930731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983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'!$F$140:$F$142</c:f>
              <c:numCache>
                <c:formatCode>General</c:formatCode>
                <c:ptCount val="3"/>
                <c:pt idx="0">
                  <c:v>698.3</c:v>
                </c:pt>
                <c:pt idx="1">
                  <c:v>798.4</c:v>
                </c:pt>
                <c:pt idx="2">
                  <c:v>848.7</c:v>
                </c:pt>
              </c:numCache>
            </c:numRef>
          </c:xVal>
          <c:yVal>
            <c:numRef>
              <c:f>'DATOS @ '!$H$140:$H$142</c:f>
              <c:numCache>
                <c:formatCode>0.00</c:formatCode>
                <c:ptCount val="3"/>
                <c:pt idx="0" formatCode="General">
                  <c:v>-0.92</c:v>
                </c:pt>
                <c:pt idx="1">
                  <c:v>-0.82099999999999995</c:v>
                </c:pt>
                <c:pt idx="2" formatCode="General">
                  <c:v>-0.75</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93123840"/>
        <c:axId val="193125376"/>
      </c:scatterChart>
      <c:valAx>
        <c:axId val="1931238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25376"/>
        <c:crosses val="autoZero"/>
        <c:crossBetween val="midCat"/>
      </c:valAx>
      <c:valAx>
        <c:axId val="1931253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238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'!$F$144:$F$146</c:f>
              <c:numCache>
                <c:formatCode>0.0</c:formatCode>
                <c:ptCount val="3"/>
                <c:pt idx="0" formatCode="General">
                  <c:v>15.4</c:v>
                </c:pt>
                <c:pt idx="1">
                  <c:v>24.7</c:v>
                </c:pt>
                <c:pt idx="2">
                  <c:v>29.4</c:v>
                </c:pt>
              </c:numCache>
            </c:numRef>
          </c:xVal>
          <c:yVal>
            <c:numRef>
              <c:f>'DATOS @ '!$H$144:$H$146</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93843968"/>
        <c:axId val="193845504"/>
      </c:scatterChart>
      <c:valAx>
        <c:axId val="193843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845504"/>
        <c:crosses val="autoZero"/>
        <c:crossBetween val="midCat"/>
      </c:valAx>
      <c:valAx>
        <c:axId val="1938455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843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'!$F$147:$F$149</c:f>
              <c:numCache>
                <c:formatCode>General</c:formatCode>
                <c:ptCount val="3"/>
                <c:pt idx="0">
                  <c:v>33.6</c:v>
                </c:pt>
                <c:pt idx="1">
                  <c:v>51.2</c:v>
                </c:pt>
                <c:pt idx="2">
                  <c:v>68.3</c:v>
                </c:pt>
              </c:numCache>
            </c:numRef>
          </c:xVal>
          <c:yVal>
            <c:numRef>
              <c:f>'DATOS @ '!$H$147:$H$149</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93880064"/>
        <c:axId val="193881600"/>
      </c:scatterChart>
      <c:valAx>
        <c:axId val="193880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881600"/>
        <c:crosses val="autoZero"/>
        <c:crossBetween val="midCat"/>
      </c:valAx>
      <c:valAx>
        <c:axId val="193881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880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'!$A$150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'!$F$150:$F$152</c:f>
              <c:numCache>
                <c:formatCode>General</c:formatCode>
                <c:ptCount val="3"/>
                <c:pt idx="0" formatCode="0.0">
                  <c:v>698.2</c:v>
                </c:pt>
                <c:pt idx="1">
                  <c:v>751.8</c:v>
                </c:pt>
                <c:pt idx="2">
                  <c:v>798.4</c:v>
                </c:pt>
              </c:numCache>
            </c:numRef>
          </c:xVal>
          <c:yVal>
            <c:numRef>
              <c:f>'DATOS @ '!$H$150:$H$152</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93612800"/>
        <c:axId val="193614592"/>
      </c:scatterChart>
      <c:valAx>
        <c:axId val="193612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614592"/>
        <c:crosses val="autoZero"/>
        <c:crossBetween val="midCat"/>
      </c:valAx>
      <c:valAx>
        <c:axId val="1936145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612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10387363746815E-2"/>
          <c:y val="0.12433233242982443"/>
          <c:w val="0.89016256604346367"/>
          <c:h val="0.80768101300863082"/>
        </c:manualLayout>
      </c:layout>
      <c:scatterChart>
        <c:scatterStyle val="lineMarker"/>
        <c:varyColors val="0"/>
        <c:ser>
          <c:idx val="0"/>
          <c:order val="0"/>
          <c:tx>
            <c:strRef>
              <c:f>'RT03-F12 @'!$N$128:$N$132</c:f>
              <c:strCache>
                <c:ptCount val="1"/>
                <c:pt idx="0">
                  <c:v>#N/A #N/A #N/A #N/A #N/A</c:v>
                </c:pt>
              </c:strCache>
            </c:strRef>
          </c:tx>
          <c:spPr>
            <a:ln w="95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dLbls>
            <c:dLbl>
              <c:idx val="0"/>
              <c:layout>
                <c:manualLayout>
                  <c:x val="-3.2373725344309501E-3"/>
                  <c:y val="-4.075299258123596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9ED-49B3-93EF-71BB7A467D2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'RT03-F12 @'!$N$128:$N$132</c:f>
              <c:numCache>
                <c:formatCode>0</c:formatCode>
                <c:ptCount val="5"/>
                <c:pt idx="0">
                  <c:v>#N/A</c:v>
                </c:pt>
                <c:pt idx="1">
                  <c:v>#N/A</c:v>
                </c:pt>
                <c:pt idx="2">
                  <c:v>#N/A</c:v>
                </c:pt>
                <c:pt idx="3">
                  <c:v>#N/A</c:v>
                </c:pt>
                <c:pt idx="4">
                  <c:v>#N/A</c:v>
                </c:pt>
              </c:numCache>
            </c:numRef>
          </c:xVal>
          <c:yVal>
            <c:numRef>
              <c:f>'RT03-F12 @'!$O$128:$O$132</c:f>
              <c:numCache>
                <c:formatCode>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195984384"/>
        <c:axId val="195994752"/>
      </c:scatterChart>
      <c:valAx>
        <c:axId val="195984384"/>
        <c:scaling>
          <c:orientation val="minMax"/>
          <c:max val="9000"/>
          <c:min val="0"/>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a:t>CARGA (g)</a:t>
                </a:r>
              </a:p>
            </c:rich>
          </c:tx>
          <c:layout>
            <c:manualLayout>
              <c:xMode val="edge"/>
              <c:yMode val="edge"/>
              <c:x val="0.49284502787607881"/>
              <c:y val="0.82940679881451573"/>
            </c:manualLayout>
          </c:layout>
          <c:overlay val="0"/>
          <c:spPr>
            <a:noFill/>
            <a:ln>
              <a:noFill/>
            </a:ln>
            <a:effectLst/>
          </c:sp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994752"/>
        <c:crosses val="autoZero"/>
        <c:crossBetween val="midCat"/>
        <c:majorUnit val="1000"/>
        <c:minorUnit val="10"/>
      </c:valAx>
      <c:valAx>
        <c:axId val="195994752"/>
        <c:scaling>
          <c:orientation val="minMax"/>
          <c:min val="2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a:t>Incertidumbre                        </a:t>
                </a:r>
              </a:p>
            </c:rich>
          </c:tx>
          <c:layout>
            <c:manualLayout>
              <c:xMode val="edge"/>
              <c:yMode val="edge"/>
              <c:x val="1.2119361627031297E-2"/>
              <c:y val="0.27774061735122496"/>
            </c:manualLayout>
          </c:layout>
          <c:overlay val="0"/>
          <c:spPr>
            <a:noFill/>
            <a:ln>
              <a:noFill/>
            </a:ln>
            <a:effectLst/>
          </c:spPr>
        </c:title>
        <c:numFmt formatCode="General"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984384"/>
        <c:crosses val="autoZero"/>
        <c:crossBetween val="midCat"/>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('RT03-F12 @'!$A$73:$B$76,'RT03-F12 @'!$A$79:$B$81)</c:f>
              <c:strCache>
                <c:ptCount val="7"/>
                <c:pt idx="0">
                  <c:v>Excentricidad</c:v>
                </c:pt>
                <c:pt idx="1">
                  <c:v>Repetibilidad</c:v>
                </c:pt>
                <c:pt idx="2">
                  <c:v>Prueba de error de indicación (redondeo de la indicación sin carga)</c:v>
                </c:pt>
                <c:pt idx="3">
                  <c:v>Prueba de error de indicación (redondeo de la indicación con carga)</c:v>
                </c:pt>
                <c:pt idx="4">
                  <c:v>Incertidumbre por pesas patrón</c:v>
                </c:pt>
                <c:pt idx="5">
                  <c:v>incertidumbre  por empuje</c:v>
                </c:pt>
                <c:pt idx="6">
                  <c:v>incertidumbre por  deriva</c:v>
                </c:pt>
              </c:strCache>
            </c:strRef>
          </c:cat>
          <c:val>
            <c:numRef>
              <c:f>('RT03-F12 @'!$M$73:$M$76,'RT03-F12 @'!$M$79:$M$81)</c:f>
              <c:numCache>
                <c:formatCode>0%</c:formatCode>
                <c:ptCount val="7"/>
                <c:pt idx="0">
                  <c:v>#N/A</c:v>
                </c:pt>
                <c:pt idx="1">
                  <c:v>0</c:v>
                </c:pt>
                <c:pt idx="2">
                  <c:v>#N/A</c:v>
                </c:pt>
                <c:pt idx="3">
                  <c:v>#N/A</c:v>
                </c:pt>
                <c:pt idx="4">
                  <c:v>#N/A</c:v>
                </c:pt>
                <c:pt idx="5">
                  <c:v>#N/A</c:v>
                </c:pt>
                <c:pt idx="6">
                  <c:v>#N/A</c:v>
                </c:pt>
              </c:numCache>
            </c:numRef>
          </c:val>
        </c:ser>
        <c:dLbls>
          <c:dLblPos val="inEnd"/>
          <c:showLegendKey val="0"/>
          <c:showVal val="1"/>
          <c:showCatName val="0"/>
          <c:showSerName val="0"/>
          <c:showPercent val="0"/>
          <c:showBubbleSize val="0"/>
        </c:dLbls>
        <c:gapWidth val="65"/>
        <c:axId val="196211072"/>
        <c:axId val="196213760"/>
      </c:barChart>
      <c:catAx>
        <c:axId val="1962110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196213760"/>
        <c:crosses val="autoZero"/>
        <c:auto val="1"/>
        <c:lblAlgn val="ctr"/>
        <c:lblOffset val="100"/>
        <c:noMultiLvlLbl val="0"/>
      </c:catAx>
      <c:valAx>
        <c:axId val="1962137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621107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itle>
    <c:autoTitleDeleted val="0"/>
    <c:plotArea>
      <c:layout/>
      <c:scatterChart>
        <c:scatterStyle val="lineMarker"/>
        <c:varyColors val="0"/>
        <c:ser>
          <c:idx val="0"/>
          <c:order val="0"/>
          <c:tx>
            <c:strRef>
              <c:f>' RT03-F15 @'!$E$104</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RT03-F15 @'!$D$106:$D$110</c:f>
                <c:numCache>
                  <c:formatCode>General</c:formatCode>
                  <c:ptCount val="5"/>
                  <c:pt idx="0">
                    <c:v>#N/A</c:v>
                  </c:pt>
                  <c:pt idx="1">
                    <c:v>#N/A</c:v>
                  </c:pt>
                  <c:pt idx="2">
                    <c:v>#N/A</c:v>
                  </c:pt>
                  <c:pt idx="3">
                    <c:v>#N/A</c:v>
                  </c:pt>
                  <c:pt idx="4">
                    <c:v>#N/A</c:v>
                  </c:pt>
                </c:numCache>
              </c:numRef>
            </c:plus>
            <c:minus>
              <c:numRef>
                <c:f>' RT03-F15 @'!$D$106:$D$110</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RT03-F15 @'!$A$106:$A$110</c:f>
              <c:numCache>
                <c:formatCode>\ 0\ 000.0</c:formatCode>
                <c:ptCount val="5"/>
                <c:pt idx="0" formatCode="General">
                  <c:v>#N/A</c:v>
                </c:pt>
                <c:pt idx="1">
                  <c:v>#N/A</c:v>
                </c:pt>
                <c:pt idx="2">
                  <c:v>#N/A</c:v>
                </c:pt>
                <c:pt idx="3">
                  <c:v>#N/A</c:v>
                </c:pt>
                <c:pt idx="4">
                  <c:v>#N/A</c:v>
                </c:pt>
              </c:numCache>
            </c:numRef>
          </c:xVal>
          <c:yVal>
            <c:numRef>
              <c:f>' RT03-F15 @'!$C$106:$C$110</c:f>
              <c:numCache>
                <c:formatCode>0.000</c:formatCode>
                <c:ptCount val="5"/>
                <c:pt idx="0">
                  <c:v>0</c:v>
                </c:pt>
                <c:pt idx="1">
                  <c:v>0</c:v>
                </c:pt>
                <c:pt idx="2">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AB1D-4EFB-9B3B-AB03A0DDED75}"/>
            </c:ext>
          </c:extLst>
        </c:ser>
        <c:ser>
          <c:idx val="1"/>
          <c:order val="1"/>
          <c:tx>
            <c:strRef>
              <c:f>' RT03-F15 @'!$F$96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@'!$E$97:$E$102</c:f>
              <c:numCache>
                <c:formatCode>0\ 000</c:formatCode>
                <c:ptCount val="6"/>
                <c:pt idx="0" formatCode="General">
                  <c:v>5</c:v>
                </c:pt>
                <c:pt idx="1">
                  <c:v>1000</c:v>
                </c:pt>
                <c:pt idx="2">
                  <c:v>2000</c:v>
                </c:pt>
                <c:pt idx="3">
                  <c:v>5000</c:v>
                </c:pt>
                <c:pt idx="4">
                  <c:v>5000</c:v>
                </c:pt>
                <c:pt idx="5">
                  <c:v>8200</c:v>
                </c:pt>
              </c:numCache>
            </c:numRef>
          </c:xVal>
          <c:yVal>
            <c:numRef>
              <c:f>' RT03-F15 @'!$F$97:$F$102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1-AB1D-4EFB-9B3B-AB03A0DDED75}"/>
            </c:ext>
          </c:extLst>
        </c:ser>
        <c:ser>
          <c:idx val="2"/>
          <c:order val="2"/>
          <c:tx>
            <c:strRef>
              <c:f>' RT03-F15 @'!$G$96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@'!$E$97:$E$102</c:f>
              <c:numCache>
                <c:formatCode>0\ 000</c:formatCode>
                <c:ptCount val="6"/>
                <c:pt idx="0" formatCode="General">
                  <c:v>5</c:v>
                </c:pt>
                <c:pt idx="1">
                  <c:v>1000</c:v>
                </c:pt>
                <c:pt idx="2">
                  <c:v>2000</c:v>
                </c:pt>
                <c:pt idx="3">
                  <c:v>5000</c:v>
                </c:pt>
                <c:pt idx="4">
                  <c:v>5000</c:v>
                </c:pt>
                <c:pt idx="5">
                  <c:v>8200</c:v>
                </c:pt>
              </c:numCache>
            </c:numRef>
          </c:xVal>
          <c:yVal>
            <c:numRef>
              <c:f>' RT03-F15 @'!$G$97:$G$102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192298368"/>
        <c:axId val="192309120"/>
      </c:scatterChart>
      <c:valAx>
        <c:axId val="192298368"/>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2309120"/>
        <c:crosses val="autoZero"/>
        <c:crossBetween val="midCat"/>
      </c:valAx>
      <c:valAx>
        <c:axId val="19230912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2298368"/>
        <c:crosses val="autoZero"/>
        <c:crossBetween val="midCat"/>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itle>
    <c:autoTitleDeleted val="0"/>
    <c:plotArea>
      <c:layout/>
      <c:scatterChart>
        <c:scatterStyle val="lineMarker"/>
        <c:varyColors val="0"/>
        <c:ser>
          <c:idx val="0"/>
          <c:order val="0"/>
          <c:tx>
            <c:strRef>
              <c:f>' RT03-F39 @ '!$E$104</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RT03-F39 @ '!$D$106:$D$110</c:f>
                <c:numCache>
                  <c:formatCode>General</c:formatCode>
                  <c:ptCount val="5"/>
                  <c:pt idx="0">
                    <c:v>#N/A</c:v>
                  </c:pt>
                  <c:pt idx="1">
                    <c:v>#N/A</c:v>
                  </c:pt>
                  <c:pt idx="2">
                    <c:v>#N/A</c:v>
                  </c:pt>
                  <c:pt idx="3">
                    <c:v>#N/A</c:v>
                  </c:pt>
                  <c:pt idx="4">
                    <c:v>#N/A</c:v>
                  </c:pt>
                </c:numCache>
              </c:numRef>
            </c:plus>
            <c:minus>
              <c:numRef>
                <c:f>' RT03-F39 @ '!$D$106:$D$110</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RT03-F39 @ '!$A$106:$A$110</c:f>
              <c:numCache>
                <c:formatCode>\ 0\ 000.0</c:formatCode>
                <c:ptCount val="5"/>
                <c:pt idx="0" formatCode="General">
                  <c:v>#N/A</c:v>
                </c:pt>
                <c:pt idx="1">
                  <c:v>#N/A</c:v>
                </c:pt>
                <c:pt idx="2">
                  <c:v>#N/A</c:v>
                </c:pt>
                <c:pt idx="3">
                  <c:v>#N/A</c:v>
                </c:pt>
                <c:pt idx="4">
                  <c:v>#N/A</c:v>
                </c:pt>
              </c:numCache>
            </c:numRef>
          </c:xVal>
          <c:yVal>
            <c:numRef>
              <c:f>' RT03-F39 @ '!$C$106:$C$110</c:f>
              <c:numCache>
                <c:formatCode>0.000</c:formatCode>
                <c:ptCount val="5"/>
                <c:pt idx="0">
                  <c:v>0</c:v>
                </c:pt>
                <c:pt idx="1">
                  <c:v>0</c:v>
                </c:pt>
                <c:pt idx="2">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AB1D-4EFB-9B3B-AB03A0DDED75}"/>
            </c:ext>
          </c:extLst>
        </c:ser>
        <c:ser>
          <c:idx val="1"/>
          <c:order val="1"/>
          <c:tx>
            <c:strRef>
              <c:f>' RT03-F39 @ '!$F$96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 '!$E$97:$E$102</c:f>
              <c:numCache>
                <c:formatCode>0\ 000</c:formatCode>
                <c:ptCount val="6"/>
                <c:pt idx="0" formatCode="General">
                  <c:v>5</c:v>
                </c:pt>
                <c:pt idx="1">
                  <c:v>1000</c:v>
                </c:pt>
                <c:pt idx="2">
                  <c:v>2000</c:v>
                </c:pt>
                <c:pt idx="3">
                  <c:v>5000</c:v>
                </c:pt>
                <c:pt idx="4">
                  <c:v>5000</c:v>
                </c:pt>
                <c:pt idx="5">
                  <c:v>8200</c:v>
                </c:pt>
              </c:numCache>
            </c:numRef>
          </c:xVal>
          <c:yVal>
            <c:numRef>
              <c:f>' RT03-F39 @ '!$F$97:$F$102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1-AB1D-4EFB-9B3B-AB03A0DDED75}"/>
            </c:ext>
          </c:extLst>
        </c:ser>
        <c:ser>
          <c:idx val="2"/>
          <c:order val="2"/>
          <c:tx>
            <c:strRef>
              <c:f>' RT03-F39 @ '!$G$96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 '!$E$97:$E$102</c:f>
              <c:numCache>
                <c:formatCode>0\ 000</c:formatCode>
                <c:ptCount val="6"/>
                <c:pt idx="0" formatCode="General">
                  <c:v>5</c:v>
                </c:pt>
                <c:pt idx="1">
                  <c:v>1000</c:v>
                </c:pt>
                <c:pt idx="2">
                  <c:v>2000</c:v>
                </c:pt>
                <c:pt idx="3">
                  <c:v>5000</c:v>
                </c:pt>
                <c:pt idx="4">
                  <c:v>5000</c:v>
                </c:pt>
                <c:pt idx="5">
                  <c:v>8200</c:v>
                </c:pt>
              </c:numCache>
            </c:numRef>
          </c:xVal>
          <c:yVal>
            <c:numRef>
              <c:f>' RT03-F39 @ '!$G$97:$G$102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196504960"/>
        <c:axId val="196507520"/>
      </c:scatterChart>
      <c:valAx>
        <c:axId val="196504960"/>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6507520"/>
        <c:crosses val="autoZero"/>
        <c:crossBetween val="midCat"/>
      </c:valAx>
      <c:valAx>
        <c:axId val="19650752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6504960"/>
        <c:crosses val="autoZero"/>
        <c:crossBetween val="midCat"/>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'!$F$105:$F$107</c:f>
              <c:numCache>
                <c:formatCode>0.0</c:formatCode>
                <c:ptCount val="3"/>
                <c:pt idx="0" formatCode="General">
                  <c:v>33.200000000000003</c:v>
                </c:pt>
                <c:pt idx="1">
                  <c:v>51.2</c:v>
                </c:pt>
                <c:pt idx="2" formatCode="General">
                  <c:v>77.2</c:v>
                </c:pt>
              </c:numCache>
            </c:numRef>
          </c:xVal>
          <c:yVal>
            <c:numRef>
              <c:f>'DATOS @ '!$H$105:$H$107</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72152320"/>
        <c:axId val="172153856"/>
      </c:scatterChart>
      <c:valAx>
        <c:axId val="1721523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2153856"/>
        <c:crosses val="autoZero"/>
        <c:crossBetween val="midCat"/>
      </c:valAx>
      <c:valAx>
        <c:axId val="1721538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21523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'!$F$108:$F$110</c:f>
              <c:numCache>
                <c:formatCode>General</c:formatCode>
                <c:ptCount val="3"/>
                <c:pt idx="0">
                  <c:v>698.2</c:v>
                </c:pt>
                <c:pt idx="1">
                  <c:v>798.4</c:v>
                </c:pt>
                <c:pt idx="2" formatCode="0.0">
                  <c:v>848.7</c:v>
                </c:pt>
              </c:numCache>
            </c:numRef>
          </c:xVal>
          <c:yVal>
            <c:numRef>
              <c:f>'DATOS @ '!$H$108:$H$110</c:f>
              <c:numCache>
                <c:formatCode>General</c:formatCode>
                <c:ptCount val="3"/>
                <c:pt idx="0" formatCode="0.000">
                  <c:v>-1.002</c:v>
                </c:pt>
                <c:pt idx="1">
                  <c:v>-0.77</c:v>
                </c:pt>
                <c:pt idx="2">
                  <c:v>-0.78</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93233664"/>
        <c:axId val="193235200"/>
      </c:scatterChart>
      <c:valAx>
        <c:axId val="1932336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235200"/>
        <c:crosses val="autoZero"/>
        <c:crossBetween val="midCat"/>
      </c:valAx>
      <c:valAx>
        <c:axId val="1932352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2336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'!$F$113:$F$115</c:f>
              <c:numCache>
                <c:formatCode>General</c:formatCode>
                <c:ptCount val="3"/>
                <c:pt idx="0" formatCode="0.0">
                  <c:v>15.5</c:v>
                </c:pt>
                <c:pt idx="1">
                  <c:v>24.6</c:v>
                </c:pt>
                <c:pt idx="2">
                  <c:v>33.9</c:v>
                </c:pt>
              </c:numCache>
            </c:numRef>
          </c:xVal>
          <c:yVal>
            <c:numRef>
              <c:f>'DATOS @ '!$H$113:$H$115</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93269760"/>
        <c:axId val="193271296"/>
      </c:scatterChart>
      <c:valAx>
        <c:axId val="1932697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271296"/>
        <c:crosses val="autoZero"/>
        <c:crossBetween val="midCat"/>
      </c:valAx>
      <c:valAx>
        <c:axId val="1932712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2697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'!$F$116:$F$118</c:f>
              <c:numCache>
                <c:formatCode>General</c:formatCode>
                <c:ptCount val="3"/>
                <c:pt idx="0">
                  <c:v>32.700000000000003</c:v>
                </c:pt>
                <c:pt idx="1">
                  <c:v>50.7</c:v>
                </c:pt>
                <c:pt idx="2">
                  <c:v>68.099999999999994</c:v>
                </c:pt>
              </c:numCache>
            </c:numRef>
          </c:xVal>
          <c:yVal>
            <c:numRef>
              <c:f>'DATOS @ '!$H$116:$H$118</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93344256"/>
        <c:axId val="193345792"/>
      </c:scatterChart>
      <c:valAx>
        <c:axId val="1933442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345792"/>
        <c:crosses val="autoZero"/>
        <c:crossBetween val="midCat"/>
      </c:valAx>
      <c:valAx>
        <c:axId val="1933457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3442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'!$F$119:$F$121</c:f>
              <c:numCache>
                <c:formatCode>General</c:formatCode>
                <c:ptCount val="3"/>
                <c:pt idx="0" formatCode="0.0">
                  <c:v>397.5</c:v>
                </c:pt>
                <c:pt idx="1">
                  <c:v>798.5</c:v>
                </c:pt>
                <c:pt idx="2">
                  <c:v>1099.5999999999999</c:v>
                </c:pt>
              </c:numCache>
            </c:numRef>
          </c:xVal>
          <c:yVal>
            <c:numRef>
              <c:f>'DATOS @ '!$H$119:$H$121</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193405312"/>
        <c:axId val="193406848"/>
      </c:scatterChart>
      <c:valAx>
        <c:axId val="1934053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406848"/>
        <c:crosses val="autoZero"/>
        <c:crossBetween val="midCat"/>
      </c:valAx>
      <c:valAx>
        <c:axId val="1934068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4053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'!$F$124:$F$126</c:f>
              <c:numCache>
                <c:formatCode>General</c:formatCode>
                <c:ptCount val="3"/>
                <c:pt idx="0" formatCode="0.0">
                  <c:v>15.3</c:v>
                </c:pt>
                <c:pt idx="1">
                  <c:v>24.8</c:v>
                </c:pt>
                <c:pt idx="2">
                  <c:v>29.6</c:v>
                </c:pt>
              </c:numCache>
            </c:numRef>
          </c:xVal>
          <c:yVal>
            <c:numRef>
              <c:f>'DATOS @ '!$H$124:$H$126</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193437056"/>
        <c:axId val="193447040"/>
      </c:scatterChart>
      <c:valAx>
        <c:axId val="1934370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447040"/>
        <c:crosses val="autoZero"/>
        <c:crossBetween val="midCat"/>
      </c:valAx>
      <c:valAx>
        <c:axId val="1934470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4370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'!$F$127:$F$129</c:f>
              <c:numCache>
                <c:formatCode>General</c:formatCode>
                <c:ptCount val="3"/>
                <c:pt idx="0">
                  <c:v>32.299999999999997</c:v>
                </c:pt>
                <c:pt idx="1">
                  <c:v>50.6</c:v>
                </c:pt>
                <c:pt idx="2">
                  <c:v>68.599999999999994</c:v>
                </c:pt>
              </c:numCache>
            </c:numRef>
          </c:xVal>
          <c:yVal>
            <c:numRef>
              <c:f>'DATOS @ '!$H$127:$H$129</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192956672"/>
        <c:axId val="192962560"/>
      </c:scatterChart>
      <c:valAx>
        <c:axId val="1929566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962560"/>
        <c:crosses val="autoZero"/>
        <c:crossBetween val="midCat"/>
      </c:valAx>
      <c:valAx>
        <c:axId val="1929625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9566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'!$F$130:$F$132</c:f>
              <c:numCache>
                <c:formatCode>General</c:formatCode>
                <c:ptCount val="3"/>
                <c:pt idx="0" formatCode="0.0">
                  <c:v>497.8</c:v>
                </c:pt>
                <c:pt idx="1">
                  <c:v>698.2</c:v>
                </c:pt>
                <c:pt idx="2">
                  <c:v>1098.8</c:v>
                </c:pt>
              </c:numCache>
            </c:numRef>
          </c:xVal>
          <c:yVal>
            <c:numRef>
              <c:f>'DATOS @ '!$H$130:$H$132</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193024000"/>
        <c:axId val="193025536"/>
      </c:scatterChart>
      <c:valAx>
        <c:axId val="193024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025536"/>
        <c:crosses val="autoZero"/>
        <c:crossBetween val="midCat"/>
      </c:valAx>
      <c:valAx>
        <c:axId val="1930255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024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16.xml"/><Relationship Id="rId6" Type="http://schemas.openxmlformats.org/officeDocument/2006/relationships/chart" Target="../charts/chart17.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104</xdr:row>
      <xdr:rowOff>214766</xdr:rowOff>
    </xdr:from>
    <xdr:to>
      <xdr:col>15</xdr:col>
      <xdr:colOff>696909</xdr:colOff>
      <xdr:row>107</xdr:row>
      <xdr:rowOff>350838</xdr:rowOff>
    </xdr:to>
    <xdr:graphicFrame macro="">
      <xdr:nvGraphicFramePr>
        <xdr:cNvPr id="11" name="Gráfico 10">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104</xdr:row>
      <xdr:rowOff>231775</xdr:rowOff>
    </xdr:from>
    <xdr:to>
      <xdr:col>17</xdr:col>
      <xdr:colOff>630915</xdr:colOff>
      <xdr:row>107</xdr:row>
      <xdr:rowOff>367847</xdr:rowOff>
    </xdr:to>
    <xdr:graphicFrame macro="">
      <xdr:nvGraphicFramePr>
        <xdr:cNvPr id="22" name="Gráfico 21">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104</xdr:row>
      <xdr:rowOff>268288</xdr:rowOff>
    </xdr:from>
    <xdr:to>
      <xdr:col>19</xdr:col>
      <xdr:colOff>942065</xdr:colOff>
      <xdr:row>108</xdr:row>
      <xdr:rowOff>23360</xdr:rowOff>
    </xdr:to>
    <xdr:graphicFrame macro="">
      <xdr:nvGraphicFramePr>
        <xdr:cNvPr id="23" name="Gráfico 22">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115</xdr:row>
      <xdr:rowOff>238125</xdr:rowOff>
    </xdr:from>
    <xdr:to>
      <xdr:col>15</xdr:col>
      <xdr:colOff>861103</xdr:colOff>
      <xdr:row>118</xdr:row>
      <xdr:rowOff>374197</xdr:rowOff>
    </xdr:to>
    <xdr:graphicFrame macro="">
      <xdr:nvGraphicFramePr>
        <xdr:cNvPr id="25" name="Gráfico 24">
          <a:extLst>
            <a:ext uri="{FF2B5EF4-FFF2-40B4-BE49-F238E27FC236}">
              <a16:creationId xmlns=""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115</xdr:row>
      <xdr:rowOff>228601</xdr:rowOff>
    </xdr:from>
    <xdr:to>
      <xdr:col>17</xdr:col>
      <xdr:colOff>708703</xdr:colOff>
      <xdr:row>118</xdr:row>
      <xdr:rowOff>364673</xdr:rowOff>
    </xdr:to>
    <xdr:graphicFrame macro="">
      <xdr:nvGraphicFramePr>
        <xdr:cNvPr id="26" name="Gráfico 25">
          <a:extLst>
            <a:ext uri="{FF2B5EF4-FFF2-40B4-BE49-F238E27FC236}">
              <a16:creationId xmlns=""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115</xdr:row>
      <xdr:rowOff>250825</xdr:rowOff>
    </xdr:from>
    <xdr:to>
      <xdr:col>19</xdr:col>
      <xdr:colOff>954765</xdr:colOff>
      <xdr:row>119</xdr:row>
      <xdr:rowOff>5897</xdr:rowOff>
    </xdr:to>
    <xdr:graphicFrame macro="">
      <xdr:nvGraphicFramePr>
        <xdr:cNvPr id="27" name="Gráfico 26">
          <a:extLst>
            <a:ext uri="{FF2B5EF4-FFF2-40B4-BE49-F238E27FC236}">
              <a16:creationId xmlns=""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126</xdr:row>
      <xdr:rowOff>269875</xdr:rowOff>
    </xdr:from>
    <xdr:to>
      <xdr:col>15</xdr:col>
      <xdr:colOff>835703</xdr:colOff>
      <xdr:row>130</xdr:row>
      <xdr:rowOff>24947</xdr:rowOff>
    </xdr:to>
    <xdr:graphicFrame macro="">
      <xdr:nvGraphicFramePr>
        <xdr:cNvPr id="28" name="Gráfico 27">
          <a:extLst>
            <a:ext uri="{FF2B5EF4-FFF2-40B4-BE49-F238E27FC236}">
              <a16:creationId xmlns=""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126</xdr:row>
      <xdr:rowOff>293688</xdr:rowOff>
    </xdr:from>
    <xdr:to>
      <xdr:col>17</xdr:col>
      <xdr:colOff>780140</xdr:colOff>
      <xdr:row>130</xdr:row>
      <xdr:rowOff>48760</xdr:rowOff>
    </xdr:to>
    <xdr:graphicFrame macro="">
      <xdr:nvGraphicFramePr>
        <xdr:cNvPr id="29" name="Gráfico 28">
          <a:extLst>
            <a:ext uri="{FF2B5EF4-FFF2-40B4-BE49-F238E27FC236}">
              <a16:creationId xmlns=""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126</xdr:row>
      <xdr:rowOff>277813</xdr:rowOff>
    </xdr:from>
    <xdr:to>
      <xdr:col>19</xdr:col>
      <xdr:colOff>1216702</xdr:colOff>
      <xdr:row>130</xdr:row>
      <xdr:rowOff>32885</xdr:rowOff>
    </xdr:to>
    <xdr:graphicFrame macro="">
      <xdr:nvGraphicFramePr>
        <xdr:cNvPr id="31" name="Gráfico 30">
          <a:extLst>
            <a:ext uri="{FF2B5EF4-FFF2-40B4-BE49-F238E27FC236}">
              <a16:creationId xmlns=""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136</xdr:row>
      <xdr:rowOff>276679</xdr:rowOff>
    </xdr:from>
    <xdr:to>
      <xdr:col>15</xdr:col>
      <xdr:colOff>738185</xdr:colOff>
      <xdr:row>140</xdr:row>
      <xdr:rowOff>31751</xdr:rowOff>
    </xdr:to>
    <xdr:graphicFrame macro="">
      <xdr:nvGraphicFramePr>
        <xdr:cNvPr id="32" name="Gráfico 31">
          <a:extLst>
            <a:ext uri="{FF2B5EF4-FFF2-40B4-BE49-F238E27FC236}">
              <a16:creationId xmlns=""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136</xdr:row>
      <xdr:rowOff>285750</xdr:rowOff>
    </xdr:from>
    <xdr:to>
      <xdr:col>17</xdr:col>
      <xdr:colOff>654274</xdr:colOff>
      <xdr:row>140</xdr:row>
      <xdr:rowOff>40822</xdr:rowOff>
    </xdr:to>
    <xdr:graphicFrame macro="">
      <xdr:nvGraphicFramePr>
        <xdr:cNvPr id="33" name="Gráfico 32">
          <a:extLst>
            <a:ext uri="{FF2B5EF4-FFF2-40B4-BE49-F238E27FC236}">
              <a16:creationId xmlns=""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136</xdr:row>
      <xdr:rowOff>343581</xdr:rowOff>
    </xdr:from>
    <xdr:to>
      <xdr:col>19</xdr:col>
      <xdr:colOff>1044346</xdr:colOff>
      <xdr:row>140</xdr:row>
      <xdr:rowOff>98653</xdr:rowOff>
    </xdr:to>
    <xdr:graphicFrame macro="">
      <xdr:nvGraphicFramePr>
        <xdr:cNvPr id="35" name="Gráfico 34">
          <a:extLst>
            <a:ext uri="{FF2B5EF4-FFF2-40B4-BE49-F238E27FC236}">
              <a16:creationId xmlns=""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146</xdr:row>
      <xdr:rowOff>305593</xdr:rowOff>
    </xdr:from>
    <xdr:to>
      <xdr:col>15</xdr:col>
      <xdr:colOff>875390</xdr:colOff>
      <xdr:row>150</xdr:row>
      <xdr:rowOff>60665</xdr:rowOff>
    </xdr:to>
    <xdr:graphicFrame macro="">
      <xdr:nvGraphicFramePr>
        <xdr:cNvPr id="37" name="Gráfico 36">
          <a:extLst>
            <a:ext uri="{FF2B5EF4-FFF2-40B4-BE49-F238E27FC236}">
              <a16:creationId xmlns=""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146</xdr:row>
      <xdr:rowOff>337345</xdr:rowOff>
    </xdr:from>
    <xdr:to>
      <xdr:col>17</xdr:col>
      <xdr:colOff>776172</xdr:colOff>
      <xdr:row>150</xdr:row>
      <xdr:rowOff>92417</xdr:rowOff>
    </xdr:to>
    <xdr:graphicFrame macro="">
      <xdr:nvGraphicFramePr>
        <xdr:cNvPr id="39" name="Gráfico 38">
          <a:extLst>
            <a:ext uri="{FF2B5EF4-FFF2-40B4-BE49-F238E27FC236}">
              <a16:creationId xmlns="" xmlns:a16="http://schemas.microsoft.com/office/drawing/2014/main"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146</xdr:row>
      <xdr:rowOff>257969</xdr:rowOff>
    </xdr:from>
    <xdr:to>
      <xdr:col>19</xdr:col>
      <xdr:colOff>1085734</xdr:colOff>
      <xdr:row>150</xdr:row>
      <xdr:rowOff>13041</xdr:rowOff>
    </xdr:to>
    <xdr:graphicFrame macro="">
      <xdr:nvGraphicFramePr>
        <xdr:cNvPr id="41" name="Gráfico 40">
          <a:extLst>
            <a:ext uri="{FF2B5EF4-FFF2-40B4-BE49-F238E27FC236}">
              <a16:creationId xmlns=""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228828</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02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CO" sz="1050" b="0" i="1">
                                <a:solidFill>
                                  <a:schemeClr val="tx1"/>
                                </a:solidFill>
                                <a:effectLst/>
                                <a:latin typeface="Cambria Math"/>
                                <a:ea typeface="+mn-ea"/>
                                <a:cs typeface="+mn-cs"/>
                              </a:rPr>
                              <m:t>𝐼</m:t>
                            </m:r>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a:extLst>
                <a:ext uri="{FF2B5EF4-FFF2-40B4-BE49-F238E27FC236}">
                  <a16:creationId xmlns:a16="http://schemas.microsoft.com/office/drawing/2014/main" xmlns="" xmlns:a14="http://schemas.microsoft.com/office/drawing/2010/main" id="{00000000-0008-0000-02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CO" sz="1050" b="0" i="0">
                  <a:solidFill>
                    <a:schemeClr val="tx1"/>
                  </a:solidFill>
                  <a:effectLst/>
                  <a:latin typeface="Cambria Math"/>
                  <a:ea typeface="+mn-ea"/>
                  <a:cs typeface="+mn-cs"/>
                </a:rPr>
                <a:t>𝐼</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endParaRPr lang="es-CO" sz="1000" b="1"/>
            </a:p>
          </xdr:txBody>
        </xdr:sp>
      </mc:Fallback>
    </mc:AlternateContent>
    <xdr:clientData/>
  </xdr:oneCellAnchor>
  <xdr:oneCellAnchor>
    <xdr:from>
      <xdr:col>10</xdr:col>
      <xdr:colOff>379344</xdr:colOff>
      <xdr:row>81</xdr:row>
      <xdr:rowOff>192983</xdr:rowOff>
    </xdr:from>
    <xdr:ext cx="65" cy="172227"/>
    <xdr:sp macro="" textlink="">
      <xdr:nvSpPr>
        <xdr:cNvPr id="3" name="CuadroTexto 2">
          <a:extLst>
            <a:ext uri="{FF2B5EF4-FFF2-40B4-BE49-F238E27FC236}">
              <a16:creationId xmlns="" xmlns:a16="http://schemas.microsoft.com/office/drawing/2014/main" id="{00000000-0008-0000-02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 xmlns:a16="http://schemas.microsoft.com/office/drawing/2014/main" id="{00000000-0008-0000-02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 xmlns:a16="http://schemas.microsoft.com/office/drawing/2014/main" id="{00000000-0008-0000-02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2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a:rPr>
                      </m:ctrlPr>
                    </m:sSubPr>
                    <m:e>
                      <m:d>
                        <m:dPr>
                          <m:begChr m:val="|"/>
                          <m:endChr m:val="|"/>
                          <m:ctrlPr>
                            <a:rPr lang="es-CO" sz="1200" b="1" i="1">
                              <a:solidFill>
                                <a:schemeClr val="tx1"/>
                              </a:solidFill>
                              <a:effectLst/>
                              <a:latin typeface="Cambria Math"/>
                              <a:ea typeface="+mn-ea"/>
                              <a:cs typeface="+mn-cs"/>
                            </a:rPr>
                          </m:ctrlPr>
                        </m:dPr>
                        <m:e>
                          <m:sSub>
                            <m:sSubPr>
                              <m:ctrlPr>
                                <a:rPr lang="es-CO" sz="1200" b="1" i="1">
                                  <a:solidFill>
                                    <a:schemeClr val="tx1"/>
                                  </a:solidFill>
                                  <a:effectLst/>
                                  <a:latin typeface="Cambria Math"/>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39929</xdr:colOff>
      <xdr:row>76</xdr:row>
      <xdr:rowOff>19048</xdr:rowOff>
    </xdr:from>
    <xdr:ext cx="3272656"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2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a:ea typeface="+mn-ea"/>
                            <a:cs typeface="+mn-cs"/>
                          </a:rPr>
                        </m:ctrlPr>
                      </m:fPr>
                      <m:num>
                        <m:sSubSup>
                          <m:sSubSupPr>
                            <m:ctrlPr>
                              <a:rPr lang="es-CO" sz="1100" b="0" i="1">
                                <a:solidFill>
                                  <a:schemeClr val="tx1"/>
                                </a:solidFill>
                                <a:effectLst/>
                                <a:latin typeface="Cambria Math"/>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0</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a:ea typeface="+mn-ea"/>
                            <a:cs typeface="+mn-cs"/>
                          </a:rPr>
                        </m:ctrlPr>
                      </m:fPr>
                      <m:num>
                        <m:sSubSup>
                          <m:sSubSupPr>
                            <m:ctrlPr>
                              <a:rPr lang="es-CO" sz="1100" b="0" i="1">
                                <a:solidFill>
                                  <a:schemeClr val="tx1"/>
                                </a:solidFill>
                                <a:effectLst/>
                                <a:latin typeface="Cambria Math"/>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1</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𝑠</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𝑢</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𝛿</m:t>
                        </m:r>
                        <m:r>
                          <a:rPr lang="es-CO" sz="1100" b="0" i="1">
                            <a:solidFill>
                              <a:schemeClr val="tx1"/>
                            </a:solidFill>
                            <a:effectLst/>
                            <a:latin typeface="Cambria Math" panose="02040503050406030204" pitchFamily="18" charset="0"/>
                            <a:ea typeface="+mn-ea"/>
                            <a:cs typeface="+mn-cs"/>
                          </a:rPr>
                          <m:t>𝐼</m:t>
                        </m:r>
                      </m:e>
                      <m:sub>
                        <m:r>
                          <a:rPr lang="es-CO" sz="1100" b="0" i="1">
                            <a:solidFill>
                              <a:schemeClr val="tx1"/>
                            </a:solidFill>
                            <a:effectLst/>
                            <a:latin typeface="Cambria Math" panose="02040503050406030204" pitchFamily="18" charset="0"/>
                            <a:ea typeface="+mn-ea"/>
                            <a:cs typeface="+mn-cs"/>
                          </a:rPr>
                          <m:t>𝑒𝑐𝑐</m:t>
                        </m:r>
                      </m:sub>
                    </m:sSub>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m:oMathPara>
              </a14:m>
              <a:endParaRPr lang="es-CO" sz="1100" b="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2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lang="es-CO" sz="1100" b="0" i="0">
                  <a:solidFill>
                    <a:schemeClr val="tx1"/>
                  </a:solidFill>
                  <a:effectLst/>
                  <a:latin typeface="+mn-lt"/>
                  <a:ea typeface="+mn-ea"/>
                  <a:cs typeface="+mn-cs"/>
                </a:rPr>
                <a:t>𝑢^2 (𝐼)=(𝑑_0^2)/12+(𝑑_1^2)/12+𝑠^2 (𝐼)+𝑢〖(𝛿𝐼〗_𝑒𝑐𝑐)𝐼^2</a:t>
              </a:r>
              <a:endParaRPr lang="es-CO" sz="1100" b="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471826</xdr:colOff>
      <xdr:row>75</xdr:row>
      <xdr:rowOff>47817</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2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𝐼</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a:ea typeface="+mn-ea"/>
                            <a:cs typeface="+mn-cs"/>
                          </a:rPr>
                        </m:ctrlPr>
                      </m:dPr>
                      <m:e>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Cambria Math" panose="02040503050406030204" pitchFamily="18" charset="0"/>
                  <a:ea typeface="+mn-ea"/>
                  <a:cs typeface="+mn-cs"/>
                </a:rPr>
                <a:t>𝐼</a:t>
              </a:r>
              <a:r>
                <a:rPr lang="es-CO" sz="1100" b="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CO" sz="1100" b="0" i="0" baseline="-2500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653266</xdr:colOff>
      <xdr:row>81</xdr:row>
      <xdr:rowOff>91539</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2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02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a:t>
              </a:r>
              <a:r>
                <a:rPr lang="es-CO" sz="1100" b="0" i="0">
                  <a:solidFill>
                    <a:schemeClr val="tx1"/>
                  </a:solidFill>
                  <a:effectLst/>
                  <a:latin typeface="Cambria Math"/>
                  <a:ea typeface="+mn-ea"/>
                  <a:cs typeface="+mn-cs"/>
                </a:rPr>
                <a:t> 〖</a:t>
              </a:r>
              <a:r>
                <a:rPr lang="es-CO" sz="1100" b="0" i="0">
                  <a:solidFill>
                    <a:schemeClr val="tx1"/>
                  </a:solidFill>
                  <a:effectLst/>
                  <a:latin typeface="Cambria Math" panose="02040503050406030204" pitchFamily="18" charset="0"/>
                  <a:ea typeface="+mn-ea"/>
                  <a:cs typeface="+mn-cs"/>
                </a:rPr>
                <a:t>(𝑚</a:t>
              </a:r>
              <a:r>
                <a:rPr lang="es-CO" sz="1100" b="0" i="0">
                  <a:solidFill>
                    <a:schemeClr val="tx1"/>
                  </a:solidFill>
                  <a:effectLst/>
                  <a:latin typeface="Cambria Math"/>
                  <a:ea typeface="+mn-ea"/>
                  <a:cs typeface="+mn-cs"/>
                </a:rPr>
                <a:t>〗_</a:t>
              </a:r>
              <a:r>
                <a:rPr lang="es-CO" sz="1100" b="0" i="0">
                  <a:solidFill>
                    <a:schemeClr val="tx1"/>
                  </a:solidFill>
                  <a:effectLst/>
                  <a:latin typeface="Cambria Math" panose="02040503050406030204" pitchFamily="18" charset="0"/>
                  <a:ea typeface="+mn-ea"/>
                  <a:cs typeface="+mn-cs"/>
                </a:rPr>
                <a:t>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490186</xdr:colOff>
      <xdr:row>78</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2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𝑘</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02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𝑐  )=𝑈/</a:t>
              </a:r>
              <a:r>
                <a:rPr lang="es-CO" sz="1100" b="0" i="0">
                  <a:solidFill>
                    <a:schemeClr val="tx1"/>
                  </a:solidFill>
                  <a:effectLst/>
                  <a:latin typeface="Cambria Math" panose="02040503050406030204" pitchFamily="18" charset="0"/>
                  <a:ea typeface="+mn-ea"/>
                  <a:cs typeface="+mn-cs"/>
                </a:rPr>
                <a:t>𝑘</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457351</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a:t>
              </a:r>
              <a:r>
                <a:rPr lang="es-CO" sz="1400" i="0">
                  <a:solidFill>
                    <a:schemeClr val="tx1"/>
                  </a:solidFill>
                  <a:effectLst/>
                  <a:latin typeface="Cambria Math"/>
                  <a:ea typeface="+mn-ea"/>
                  <a:cs typeface="+mn-cs"/>
                </a:rPr>
                <a:t>_(</a:t>
              </a:r>
              <a:r>
                <a:rPr lang="es-CO" sz="1400" i="0">
                  <a:solidFill>
                    <a:schemeClr val="tx1"/>
                  </a:solidFill>
                  <a:effectLst/>
                  <a:latin typeface="Cambria Math" panose="02040503050406030204" pitchFamily="18" charset="0"/>
                  <a:ea typeface="+mn-ea"/>
                  <a:cs typeface="+mn-cs"/>
                </a:rPr>
                <a:t>𝑒𝑓𝑓(𝐸)</a:t>
              </a:r>
              <a:r>
                <a:rPr lang="es-CO" sz="1400" i="0">
                  <a:solidFill>
                    <a:schemeClr val="tx1"/>
                  </a:solidFill>
                  <a:effectLst/>
                  <a:latin typeface="Cambria Math"/>
                  <a:ea typeface="+mn-ea"/>
                  <a:cs typeface="+mn-cs"/>
                </a:rPr>
                <a:t>)</a:t>
              </a:r>
              <a:endParaRPr lang="es-CO" sz="1200">
                <a:solidFill>
                  <a:schemeClr val="tx1"/>
                </a:solidFill>
                <a:effectLst/>
                <a:latin typeface="+mn-lt"/>
                <a:ea typeface="+mn-ea"/>
                <a:cs typeface="+mn-cs"/>
              </a:endParaRPr>
            </a:p>
          </xdr:txBody>
        </xdr:sp>
      </mc:Fallback>
    </mc:AlternateContent>
    <xdr:clientData/>
  </xdr:oneCellAnchor>
  <xdr:oneCellAnchor>
    <xdr:from>
      <xdr:col>2</xdr:col>
      <xdr:colOff>394429</xdr:colOff>
      <xdr:row>79</xdr:row>
      <xdr:rowOff>29249</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2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a:ea typeface="+mn-ea"/>
                            <a:cs typeface="+mn-cs"/>
                          </a:rPr>
                        </m:ctrlPr>
                      </m:dPr>
                      <m:e>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02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𝐵  </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=𝐸𝑀𝑃</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525778</xdr:colOff>
      <xdr:row>83</xdr:row>
      <xdr:rowOff>75142</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2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02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 (𝐸)=𝑢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a:t>
              </a:r>
              <a:r>
                <a:rPr lang="es-CO" sz="1100" i="0">
                  <a:solidFill>
                    <a:sysClr val="windowText" lastClr="000000"/>
                  </a:solidFill>
                  <a:effectLst/>
                  <a:latin typeface="Cambria Math"/>
                  <a:ea typeface="+mn-ea"/>
                  <a:cs typeface="+mn-cs"/>
                </a:rPr>
                <a:t> (</a:t>
              </a:r>
              <a:r>
                <a:rPr lang="es-CO" sz="1100" i="0">
                  <a:solidFill>
                    <a:sysClr val="windowText" lastClr="000000"/>
                  </a:solidFill>
                  <a:effectLst/>
                  <a:latin typeface="Cambria Math" panose="02040503050406030204" pitchFamily="18" charset="0"/>
                  <a:ea typeface="+mn-ea"/>
                  <a:cs typeface="+mn-cs"/>
                </a:rPr>
                <a:t>𝐼</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 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a:t>
              </a:r>
              <a:r>
                <a:rPr lang="es-CO" sz="1100" i="0">
                  <a:solidFill>
                    <a:sysClr val="windowText" lastClr="000000"/>
                  </a:solidFill>
                  <a:effectLst/>
                  <a:latin typeface="Cambria Math"/>
                  <a:ea typeface="+mn-ea"/>
                  <a:cs typeface="+mn-cs"/>
                </a:rPr>
                <a:t> (</a:t>
              </a:r>
              <a:r>
                <a:rPr lang="es-CO" sz="1100" i="0">
                  <a:solidFill>
                    <a:sysClr val="windowText" lastClr="000000"/>
                  </a:solidFill>
                  <a:effectLst/>
                  <a:latin typeface="Cambria Math" panose="02040503050406030204" pitchFamily="18" charset="0"/>
                  <a:ea typeface="+mn-ea"/>
                  <a:cs typeface="+mn-cs"/>
                </a:rPr>
                <a:t>𝑚</a:t>
              </a:r>
              <a:r>
                <a:rPr lang="es-CO" sz="1100" i="0">
                  <a:solidFill>
                    <a:sysClr val="windowText" lastClr="000000"/>
                  </a:solidFill>
                  <a:effectLst/>
                  <a:latin typeface="Cambria Math"/>
                  <a:ea typeface="+mn-ea"/>
                  <a:cs typeface="+mn-cs"/>
                </a:rPr>
                <a:t>_</a:t>
              </a:r>
              <a:r>
                <a:rPr lang="es-CO" sz="1100" i="0">
                  <a:solidFill>
                    <a:sysClr val="windowText" lastClr="000000"/>
                  </a:solidFill>
                  <a:effectLst/>
                  <a:latin typeface="Cambria Math" panose="02040503050406030204" pitchFamily="18" charset="0"/>
                  <a:ea typeface="+mn-ea"/>
                  <a:cs typeface="+mn-cs"/>
                </a:rPr>
                <a:t>𝑟𝑒𝑓</a:t>
              </a:r>
              <a:r>
                <a:rPr lang="es-CO" sz="1100" i="0">
                  <a:solidFill>
                    <a:sysClr val="windowText" lastClr="000000"/>
                  </a:solidFill>
                  <a:effectLst/>
                  <a:latin typeface="Cambria Math"/>
                  <a:ea typeface="+mn-ea"/>
                  <a:cs typeface="+mn-cs"/>
                </a:rPr>
                <a:t>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96</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 xmlns:a16="http://schemas.microsoft.com/office/drawing/2014/main" id="{00000000-0008-0000-0200-000010000000}"/>
                </a:ext>
              </a:extLst>
            </xdr:cNvPr>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94</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2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sSub>
                              <m:sSubPr>
                                <m:ctrlPr>
                                  <a:rPr lang="es-CO" sz="1600" i="1">
                                    <a:solidFill>
                                      <a:schemeClr val="tx1"/>
                                    </a:solidFill>
                                    <a:effectLst/>
                                    <a:latin typeface="Cambria Math"/>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90</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2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10</xdr:col>
      <xdr:colOff>66675</xdr:colOff>
      <xdr:row>106</xdr:row>
      <xdr:rowOff>352425</xdr:rowOff>
    </xdr:from>
    <xdr:ext cx="840581" cy="723900"/>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200-000014000000}"/>
                </a:ext>
              </a:extLst>
            </xdr:cNvPr>
            <xdr:cNvSpPr txBox="1"/>
          </xdr:nvSpPr>
          <xdr:spPr>
            <a:xfrm>
              <a:off x="11458575" y="45805725"/>
              <a:ext cx="840581" cy="723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a:rPr>
                        </m:ctrlPr>
                      </m:radPr>
                      <m:deg/>
                      <m:e>
                        <m:eqArr>
                          <m:eqArrPr>
                            <m:ctrlPr>
                              <a:rPr lang="es-CO" sz="1050" i="1">
                                <a:solidFill>
                                  <a:schemeClr val="tx1"/>
                                </a:solidFill>
                                <a:effectLst/>
                                <a:latin typeface="Cambria Math"/>
                                <a:ea typeface="+mn-ea"/>
                                <a:cs typeface="+mn-cs"/>
                              </a:rPr>
                            </m:ctrlPr>
                          </m:eqArrPr>
                          <m:e>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m:t>
                            </m:r>
                          </m:e>
                          <m:e>
                            <m:r>
                              <m:rPr>
                                <m:nor/>
                              </m:rPr>
                              <a:rPr lang="es-CO" sz="1050">
                                <a:solidFill>
                                  <a:schemeClr val="tx1"/>
                                </a:solidFill>
                                <a:effectLst/>
                                <a:latin typeface="+mn-lt"/>
                                <a:ea typeface="+mn-ea"/>
                                <a:cs typeface="+mn-cs"/>
                              </a:rPr>
                              <m:t>+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eqAr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0200-000014000000}"/>
                </a:ext>
              </a:extLst>
            </xdr:cNvPr>
            <xdr:cNvSpPr txBox="1"/>
          </xdr:nvSpPr>
          <xdr:spPr>
            <a:xfrm>
              <a:off x="11458575" y="45805725"/>
              <a:ext cx="840581" cy="723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mn-lt"/>
                  <a:ea typeface="+mn-ea"/>
                  <a:cs typeface="+mn-cs"/>
                </a:rPr>
                <a:t>"+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106</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 xmlns:a16="http://schemas.microsoft.com/office/drawing/2014/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2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546388</xdr:colOff>
      <xdr:row>53</xdr:row>
      <xdr:rowOff>36367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a:extLst>
                <a:ext uri="{FF2B5EF4-FFF2-40B4-BE49-F238E27FC236}">
                  <a16:creationId xmlns="" xmlns:a16="http://schemas.microsoft.com/office/drawing/2014/main" xmlns:a14="http://schemas.microsoft.com/office/drawing/2010/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521277</xdr:colOff>
      <xdr:row>53</xdr:row>
      <xdr:rowOff>27708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107</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115</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2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02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117</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120</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 xmlns:a16="http://schemas.microsoft.com/office/drawing/2014/main" xmlns:a14="http://schemas.microsoft.com/office/drawing/2010/main"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134</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2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2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89</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2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92</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2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93</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2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94</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 xmlns:a16="http://schemas.microsoft.com/office/drawing/2014/main" id="{00000000-0008-0000-02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2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1107282</xdr:colOff>
      <xdr:row>125</xdr:row>
      <xdr:rowOff>114861</xdr:rowOff>
    </xdr:from>
    <xdr:to>
      <xdr:col>10</xdr:col>
      <xdr:colOff>214312</xdr:colOff>
      <xdr:row>133</xdr:row>
      <xdr:rowOff>440531</xdr:rowOff>
    </xdr:to>
    <xdr:graphicFrame macro="">
      <xdr:nvGraphicFramePr>
        <xdr:cNvPr id="43" name="Gráfico 42">
          <a:extLst>
            <a:ext uri="{FF2B5EF4-FFF2-40B4-BE49-F238E27FC236}">
              <a16:creationId xmlns=""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871425</xdr:colOff>
      <xdr:row>32</xdr:row>
      <xdr:rowOff>404120</xdr:rowOff>
    </xdr:from>
    <xdr:to>
      <xdr:col>10</xdr:col>
      <xdr:colOff>583406</xdr:colOff>
      <xdr:row>37</xdr:row>
      <xdr:rowOff>348682</xdr:rowOff>
    </xdr:to>
    <xdr:pic>
      <xdr:nvPicPr>
        <xdr:cNvPr id="44" name="Imagen 43">
          <a:extLst>
            <a:ext uri="{FF2B5EF4-FFF2-40B4-BE49-F238E27FC236}">
              <a16:creationId xmlns="" xmlns:a16="http://schemas.microsoft.com/office/drawing/2014/main" id="{00000000-0008-0000-0200-00002C000000}"/>
            </a:ext>
          </a:extLst>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r="32709"/>
        <a:stretch/>
      </xdr:blipFill>
      <xdr:spPr bwMode="auto">
        <a:xfrm>
          <a:off x="8943863" y="14298714"/>
          <a:ext cx="3069543" cy="2147218"/>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 xmlns:a16="http://schemas.microsoft.com/office/drawing/2014/main" id="{00000000-0008-0000-02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 xmlns:a16="http://schemas.microsoft.com/office/drawing/2014/main" id="{00000000-0008-0000-02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 xmlns:a16="http://schemas.microsoft.com/office/drawing/2014/main" id="{00000000-0008-0000-02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 xmlns:a16="http://schemas.microsoft.com/office/drawing/2014/main" id="{00000000-0008-0000-02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768350</xdr:colOff>
      <xdr:row>0</xdr:row>
      <xdr:rowOff>160866</xdr:rowOff>
    </xdr:from>
    <xdr:to>
      <xdr:col>2</xdr:col>
      <xdr:colOff>533400</xdr:colOff>
      <xdr:row>2</xdr:row>
      <xdr:rowOff>262311</xdr:rowOff>
    </xdr:to>
    <xdr:pic>
      <xdr:nvPicPr>
        <xdr:cNvPr id="50" name="Picture 1" descr="\\Abeltran\publico\Logo completo.gif">
          <a:extLst>
            <a:ext uri="{FF2B5EF4-FFF2-40B4-BE49-F238E27FC236}">
              <a16:creationId xmlns=""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768350" y="160866"/>
          <a:ext cx="1987550" cy="969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15</xdr:col>
      <xdr:colOff>628650</xdr:colOff>
      <xdr:row>85</xdr:row>
      <xdr:rowOff>0</xdr:rowOff>
    </xdr:from>
    <xdr:ext cx="65" cy="172227"/>
    <xdr:sp macro="" textlink="">
      <xdr:nvSpPr>
        <xdr:cNvPr id="55" name="CuadroTexto 54">
          <a:extLst>
            <a:ext uri="{FF2B5EF4-FFF2-40B4-BE49-F238E27FC236}">
              <a16:creationId xmlns="" xmlns:a16="http://schemas.microsoft.com/office/drawing/2014/main" id="{00000000-0008-0000-0200-00001E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408326</xdr:colOff>
      <xdr:row>74</xdr:row>
      <xdr:rowOff>26651</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 xmlns:a16="http://schemas.microsoft.com/office/drawing/2014/main" id="{00000000-0008-0000-0200-00000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a:ea typeface="+mn-ea"/>
                            <a:cs typeface="+mn-cs"/>
                          </a:rPr>
                        </m:ctrlPr>
                      </m:dPr>
                      <m:e>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ES" sz="110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89</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 xmlns:a16="http://schemas.microsoft.com/office/drawing/2014/main" id="{00000000-0008-0000-0200-000013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a16="http://schemas.microsoft.com/office/drawing/2014/main" xmlns="" xmlns:a14="http://schemas.microsoft.com/office/drawing/2010/main" id="{00000000-0008-0000-0200-000013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117</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 xmlns:a16="http://schemas.microsoft.com/office/drawing/2014/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122</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179124</xdr:colOff>
      <xdr:row>80</xdr:row>
      <xdr:rowOff>41541</xdr:rowOff>
    </xdr:from>
    <xdr:ext cx="1933574" cy="373857"/>
    <mc:AlternateContent xmlns:mc="http://schemas.openxmlformats.org/markup-compatibility/2006" xmlns:a14="http://schemas.microsoft.com/office/drawing/2010/main">
      <mc:Choice Requires="a14">
        <xdr:sp macro="" textlink="">
          <xdr:nvSpPr>
            <xdr:cNvPr id="22" name="CuadroTexto 21"/>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𝑢</m:t>
                    </m:r>
                    <m:d>
                      <m:dPr>
                        <m:ctrlPr>
                          <a:rPr lang="es-MX" sz="1100" b="0" i="1">
                            <a:latin typeface="Cambria Math"/>
                          </a:rPr>
                        </m:ctrlPr>
                      </m:dPr>
                      <m:e>
                        <m:sSub>
                          <m:sSubPr>
                            <m:ctrlPr>
                              <a:rPr lang="es-MX" sz="1100" b="0" i="1">
                                <a:latin typeface="Cambria Math"/>
                              </a:rPr>
                            </m:ctrlPr>
                          </m:sSubPr>
                          <m:e>
                            <m:r>
                              <a:rPr lang="es-MX" sz="1100" b="0" i="1">
                                <a:latin typeface="Cambria Math" panose="02040503050406030204" pitchFamily="18" charset="0"/>
                                <a:ea typeface="Cambria Math" panose="02040503050406030204" pitchFamily="18" charset="0"/>
                              </a:rPr>
                              <m:t>𝛿</m:t>
                            </m:r>
                            <m:r>
                              <a:rPr lang="es-MX" sz="1100" b="0" i="1">
                                <a:latin typeface="Cambria Math" panose="02040503050406030204" pitchFamily="18" charset="0"/>
                                <a:ea typeface="Cambria Math" panose="02040503050406030204" pitchFamily="18" charset="0"/>
                              </a:rPr>
                              <m:t>𝑚</m:t>
                            </m:r>
                          </m:e>
                          <m:sub>
                            <m:r>
                              <a:rPr lang="es-MX" sz="1100" b="0" i="1">
                                <a:latin typeface="Cambria Math" panose="02040503050406030204" pitchFamily="18" charset="0"/>
                              </a:rPr>
                              <m:t>𝐷</m:t>
                            </m:r>
                          </m:sub>
                        </m:sSub>
                      </m:e>
                    </m:d>
                    <m:r>
                      <a:rPr lang="es-MX" sz="1100" b="0" i="1">
                        <a:latin typeface="Cambria Math" panose="02040503050406030204" pitchFamily="18" charset="0"/>
                      </a:rPr>
                      <m:t>=</m:t>
                    </m:r>
                    <m:f>
                      <m:fPr>
                        <m:type m:val="skw"/>
                        <m:ctrlPr>
                          <a:rPr lang="es-MX" sz="1100" b="0" i="1">
                            <a:latin typeface="Cambria Math"/>
                          </a:rPr>
                        </m:ctrlPr>
                      </m:fPr>
                      <m:num>
                        <m:r>
                          <a:rPr lang="es-MX" sz="1100" b="0" i="1">
                            <a:latin typeface="Cambria Math" panose="02040503050406030204" pitchFamily="18" charset="0"/>
                          </a:rPr>
                          <m:t>𝐷</m:t>
                        </m:r>
                      </m:num>
                      <m:den>
                        <m:rad>
                          <m:radPr>
                            <m:degHide m:val="on"/>
                            <m:ctrlPr>
                              <a:rPr lang="es-MX" sz="1100" b="0" i="1">
                                <a:latin typeface="Cambria Math"/>
                              </a:rPr>
                            </m:ctrlPr>
                          </m:radPr>
                          <m:deg/>
                          <m:e>
                            <m:r>
                              <a:rPr lang="es-MX" sz="1100" b="0" i="1">
                                <a:latin typeface="Cambria Math" panose="02040503050406030204" pitchFamily="18" charset="0"/>
                              </a:rPr>
                              <m:t>3</m:t>
                            </m:r>
                          </m:e>
                        </m:rad>
                      </m:den>
                    </m:f>
                  </m:oMath>
                </m:oMathPara>
              </a14:m>
              <a:endParaRPr lang="es-CO" sz="1100" b="0"/>
            </a:p>
          </xdr:txBody>
        </xdr:sp>
      </mc:Choice>
      <mc:Fallback xmlns="">
        <xdr:sp macro="" textlink="">
          <xdr:nvSpPr>
            <xdr:cNvPr id="22" name="CuadroTexto 21"/>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1100" b="0" i="0">
                  <a:latin typeface="Cambria Math" panose="02040503050406030204" pitchFamily="18" charset="0"/>
                </a:rPr>
                <a:t>𝑢</a:t>
              </a:r>
              <a:r>
                <a:rPr lang="es-MX" sz="1100" b="0" i="0">
                  <a:latin typeface="Cambria Math"/>
                </a:rPr>
                <a:t>(〖</a:t>
              </a:r>
              <a:r>
                <a:rPr lang="es-MX" sz="1100" b="0" i="0">
                  <a:latin typeface="Cambria Math" panose="02040503050406030204" pitchFamily="18" charset="0"/>
                  <a:ea typeface="Cambria Math" panose="02040503050406030204" pitchFamily="18" charset="0"/>
                </a:rPr>
                <a:t>𝛿𝑚</a:t>
              </a:r>
              <a:r>
                <a:rPr lang="es-MX" sz="1100" b="0" i="0">
                  <a:latin typeface="Cambria Math"/>
                  <a:ea typeface="Cambria Math" panose="02040503050406030204" pitchFamily="18" charset="0"/>
                </a:rPr>
                <a:t>〗_</a:t>
              </a:r>
              <a:r>
                <a:rPr lang="es-MX" sz="1100" b="0" i="0">
                  <a:latin typeface="Cambria Math" panose="02040503050406030204" pitchFamily="18" charset="0"/>
                </a:rPr>
                <a:t>𝐷</a:t>
              </a:r>
              <a:r>
                <a:rPr lang="es-MX" sz="1100" b="0" i="0">
                  <a:latin typeface="Cambria Math"/>
                </a:rPr>
                <a:t> )</a:t>
              </a:r>
              <a:r>
                <a:rPr lang="es-MX" sz="1100" b="0" i="0">
                  <a:latin typeface="Cambria Math" panose="02040503050406030204" pitchFamily="18" charset="0"/>
                </a:rPr>
                <a:t>=𝐷</a:t>
              </a:r>
              <a:r>
                <a:rPr lang="es-MX" sz="1100" b="0" i="0">
                  <a:latin typeface="Cambria Math"/>
                </a:rPr>
                <a:t>⁄√</a:t>
              </a:r>
              <a:r>
                <a:rPr lang="es-MX" sz="1100" b="0" i="0">
                  <a:latin typeface="Cambria Math" panose="02040503050406030204" pitchFamily="18" charset="0"/>
                </a:rPr>
                <a:t>3</a:t>
              </a:r>
              <a:endParaRPr lang="es-CO" sz="1100" b="0"/>
            </a:p>
          </xdr:txBody>
        </xdr:sp>
      </mc:Fallback>
    </mc:AlternateContent>
    <xdr:clientData/>
  </xdr:oneCellAnchor>
  <xdr:twoCellAnchor>
    <xdr:from>
      <xdr:col>13</xdr:col>
      <xdr:colOff>166688</xdr:colOff>
      <xdr:row>71</xdr:row>
      <xdr:rowOff>35718</xdr:rowOff>
    </xdr:from>
    <xdr:to>
      <xdr:col>16</xdr:col>
      <xdr:colOff>928688</xdr:colOff>
      <xdr:row>81</xdr:row>
      <xdr:rowOff>404812</xdr:rowOff>
    </xdr:to>
    <xdr:graphicFrame macro="">
      <xdr:nvGraphicFramePr>
        <xdr:cNvPr id="19" name="Gráfico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21</xdr:col>
      <xdr:colOff>74085</xdr:colOff>
      <xdr:row>129</xdr:row>
      <xdr:rowOff>211668</xdr:rowOff>
    </xdr:from>
    <xdr:to>
      <xdr:col>27</xdr:col>
      <xdr:colOff>317500</xdr:colOff>
      <xdr:row>132</xdr:row>
      <xdr:rowOff>63500</xdr:rowOff>
    </xdr:to>
    <xdr:pic>
      <xdr:nvPicPr>
        <xdr:cNvPr id="54" name="Imagen 5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14418" y="55382585"/>
          <a:ext cx="2413000" cy="1153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1047151</xdr:colOff>
      <xdr:row>60</xdr:row>
      <xdr:rowOff>159794</xdr:rowOff>
    </xdr:from>
    <xdr:to>
      <xdr:col>6</xdr:col>
      <xdr:colOff>311727</xdr:colOff>
      <xdr:row>63</xdr:row>
      <xdr:rowOff>166983</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101</xdr:row>
      <xdr:rowOff>95983</xdr:rowOff>
    </xdr:from>
    <xdr:ext cx="65" cy="172227"/>
    <xdr:sp macro="" textlink="">
      <xdr:nvSpPr>
        <xdr:cNvPr id="5" name="CuadroTexto 4">
          <a:extLst>
            <a:ext uri="{FF2B5EF4-FFF2-40B4-BE49-F238E27FC236}">
              <a16:creationId xmlns="" xmlns:a16="http://schemas.microsoft.com/office/drawing/2014/main" id="{00000000-0008-0000-0300-00000C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101</xdr:row>
      <xdr:rowOff>95983</xdr:rowOff>
    </xdr:from>
    <xdr:ext cx="65" cy="172227"/>
    <xdr:sp macro="" textlink="">
      <xdr:nvSpPr>
        <xdr:cNvPr id="6" name="CuadroTexto 5">
          <a:extLst>
            <a:ext uri="{FF2B5EF4-FFF2-40B4-BE49-F238E27FC236}">
              <a16:creationId xmlns="" xmlns:a16="http://schemas.microsoft.com/office/drawing/2014/main" id="{00000000-0008-0000-0300-00000D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363456</xdr:colOff>
      <xdr:row>140</xdr:row>
      <xdr:rowOff>276946</xdr:rowOff>
    </xdr:from>
    <xdr:ext cx="3400931" cy="244928"/>
    <mc:AlternateContent xmlns:mc="http://schemas.openxmlformats.org/markup-compatibility/2006" xmlns:a14="http://schemas.microsoft.com/office/drawing/2010/main">
      <mc:Choice Requires="a14">
        <xdr:sp macro="" textlink="">
          <xdr:nvSpPr>
            <xdr:cNvPr id="9" name="CuadroTexto 8"/>
            <xdr:cNvSpPr txBox="1"/>
          </xdr:nvSpPr>
          <xdr:spPr>
            <a:xfrm>
              <a:off x="1618515" y="43408387"/>
              <a:ext cx="3400931" cy="24492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ysClr val="windowText" lastClr="000000"/>
                      </a:solidFill>
                      <a:latin typeface="Cambria Math" panose="02040503050406030204" pitchFamily="18" charset="0"/>
                      <a:ea typeface="Cambria Math" panose="02040503050406030204" pitchFamily="18" charset="0"/>
                    </a:rPr>
                    <m:t>𝑹𝒆𝒈𝒍𝒂</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𝒅𝒆𝒄𝒊𝒔𝒊</m:t>
                  </m:r>
                  <m:r>
                    <a:rPr lang="es-CO" sz="1200" b="1" i="1">
                      <a:solidFill>
                        <a:sysClr val="windowText" lastClr="000000"/>
                      </a:solidFill>
                      <a:latin typeface="Cambria Math" panose="02040503050406030204" pitchFamily="18" charset="0"/>
                      <a:ea typeface="Cambria Math" panose="02040503050406030204" pitchFamily="18" charset="0"/>
                    </a:rPr>
                    <m:t>ó</m:t>
                  </m:r>
                  <m:r>
                    <a:rPr lang="es-CO" sz="1200" b="1" i="1">
                      <a:solidFill>
                        <a:sysClr val="windowText" lastClr="000000"/>
                      </a:solidFill>
                      <a:latin typeface="Cambria Math" panose="02040503050406030204" pitchFamily="18" charset="0"/>
                      <a:ea typeface="Cambria Math" panose="02040503050406030204" pitchFamily="18" charset="0"/>
                    </a:rPr>
                    <m:t>𝒏</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𝑼</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𝑬𝑴𝑷</m:t>
                  </m:r>
                </m:oMath>
              </a14:m>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9" name="CuadroTexto 8"/>
            <xdr:cNvSpPr txBox="1"/>
          </xdr:nvSpPr>
          <xdr:spPr>
            <a:xfrm>
              <a:off x="1618515" y="43408387"/>
              <a:ext cx="3400931" cy="24492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ysClr val="windowText" lastClr="000000"/>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796636</xdr:colOff>
      <xdr:row>121</xdr:row>
      <xdr:rowOff>225136</xdr:rowOff>
    </xdr:from>
    <xdr:to>
      <xdr:col>6</xdr:col>
      <xdr:colOff>687531</xdr:colOff>
      <xdr:row>136</xdr:row>
      <xdr:rowOff>50223</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27215</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1047151</xdr:colOff>
      <xdr:row>60</xdr:row>
      <xdr:rowOff>159794</xdr:rowOff>
    </xdr:from>
    <xdr:to>
      <xdr:col>6</xdr:col>
      <xdr:colOff>311727</xdr:colOff>
      <xdr:row>63</xdr:row>
      <xdr:rowOff>166983</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90476" y="19990844"/>
          <a:ext cx="1626776" cy="115018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101</xdr:row>
      <xdr:rowOff>95983</xdr:rowOff>
    </xdr:from>
    <xdr:ext cx="65" cy="172227"/>
    <xdr:sp macro="" textlink="">
      <xdr:nvSpPr>
        <xdr:cNvPr id="3" name="CuadroTexto 4">
          <a:extLst>
            <a:ext uri="{FF2B5EF4-FFF2-40B4-BE49-F238E27FC236}">
              <a16:creationId xmlns="" xmlns:a16="http://schemas.microsoft.com/office/drawing/2014/main" id="{00000000-0008-0000-0300-00000C000000}"/>
            </a:ext>
          </a:extLst>
        </xdr:cNvPr>
        <xdr:cNvSpPr txBox="1"/>
      </xdr:nvSpPr>
      <xdr:spPr>
        <a:xfrm>
          <a:off x="133350" y="324905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101</xdr:row>
      <xdr:rowOff>95983</xdr:rowOff>
    </xdr:from>
    <xdr:ext cx="65" cy="172227"/>
    <xdr:sp macro="" textlink="">
      <xdr:nvSpPr>
        <xdr:cNvPr id="4" name="CuadroTexto 5">
          <a:extLst>
            <a:ext uri="{FF2B5EF4-FFF2-40B4-BE49-F238E27FC236}">
              <a16:creationId xmlns="" xmlns:a16="http://schemas.microsoft.com/office/drawing/2014/main" id="{00000000-0008-0000-0300-00000D000000}"/>
            </a:ext>
          </a:extLst>
        </xdr:cNvPr>
        <xdr:cNvSpPr txBox="1"/>
      </xdr:nvSpPr>
      <xdr:spPr>
        <a:xfrm>
          <a:off x="133350" y="324905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363456</xdr:colOff>
      <xdr:row>140</xdr:row>
      <xdr:rowOff>276946</xdr:rowOff>
    </xdr:from>
    <xdr:ext cx="3400931" cy="244928"/>
    <mc:AlternateContent xmlns:mc="http://schemas.openxmlformats.org/markup-compatibility/2006" xmlns:a14="http://schemas.microsoft.com/office/drawing/2010/main">
      <mc:Choice Requires="a14">
        <xdr:sp macro="" textlink="">
          <xdr:nvSpPr>
            <xdr:cNvPr id="5" name="CuadroTexto 8"/>
            <xdr:cNvSpPr txBox="1"/>
          </xdr:nvSpPr>
          <xdr:spPr>
            <a:xfrm>
              <a:off x="1620756" y="43329946"/>
              <a:ext cx="3400931" cy="24492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ysClr val="windowText" lastClr="000000"/>
                      </a:solidFill>
                      <a:latin typeface="Cambria Math" panose="02040503050406030204" pitchFamily="18" charset="0"/>
                      <a:ea typeface="Cambria Math" panose="02040503050406030204" pitchFamily="18" charset="0"/>
                    </a:rPr>
                    <m:t>𝑹𝒆𝒈𝒍𝒂</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𝒅𝒆𝒄𝒊𝒔𝒊</m:t>
                  </m:r>
                  <m:r>
                    <a:rPr lang="es-CO" sz="1200" b="1" i="1">
                      <a:solidFill>
                        <a:sysClr val="windowText" lastClr="000000"/>
                      </a:solidFill>
                      <a:latin typeface="Cambria Math" panose="02040503050406030204" pitchFamily="18" charset="0"/>
                      <a:ea typeface="Cambria Math" panose="02040503050406030204" pitchFamily="18" charset="0"/>
                    </a:rPr>
                    <m:t>ó</m:t>
                  </m:r>
                  <m:r>
                    <a:rPr lang="es-CO" sz="1200" b="1" i="1">
                      <a:solidFill>
                        <a:sysClr val="windowText" lastClr="000000"/>
                      </a:solidFill>
                      <a:latin typeface="Cambria Math" panose="02040503050406030204" pitchFamily="18" charset="0"/>
                      <a:ea typeface="Cambria Math" panose="02040503050406030204" pitchFamily="18" charset="0"/>
                    </a:rPr>
                    <m:t>𝒏</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𝑼</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𝑬𝑴𝑷</m:t>
                  </m:r>
                </m:oMath>
              </a14:m>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5" name="CuadroTexto 8"/>
            <xdr:cNvSpPr txBox="1"/>
          </xdr:nvSpPr>
          <xdr:spPr>
            <a:xfrm>
              <a:off x="1620756" y="43329946"/>
              <a:ext cx="3400931" cy="24492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ysClr val="windowText" lastClr="000000"/>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796636</xdr:colOff>
      <xdr:row>121</xdr:row>
      <xdr:rowOff>225136</xdr:rowOff>
    </xdr:from>
    <xdr:to>
      <xdr:col>6</xdr:col>
      <xdr:colOff>687531</xdr:colOff>
      <xdr:row>136</xdr:row>
      <xdr:rowOff>50223</xdr:rowOff>
    </xdr:to>
    <xdr:graphicFrame macro="">
      <xdr:nvGraphicFramePr>
        <xdr:cNvPr id="6"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Users/CA32F~1.YAH/AppData/Local/Temp/Rar$DIa0.424/RT03-F12.Vr.1(2017-04-47).xlsx" TargetMode="External"/><Relationship Id="rId1" Type="http://schemas.openxmlformats.org/officeDocument/2006/relationships/externalLinkPath" Target="/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CE202"/>
  <sheetViews>
    <sheetView showGridLines="0" view="pageBreakPreview" zoomScale="70" zoomScaleNormal="20" zoomScaleSheetLayoutView="70" workbookViewId="0">
      <selection activeCell="L11" sqref="L11"/>
    </sheetView>
  </sheetViews>
  <sheetFormatPr baseColWidth="10" defaultColWidth="15.7109375" defaultRowHeight="18" x14ac:dyDescent="0.2"/>
  <cols>
    <col min="1" max="1" width="15.7109375" style="60"/>
    <col min="2" max="7" width="20.7109375" style="60" customWidth="1"/>
    <col min="8" max="8" width="20.140625" style="60" customWidth="1"/>
    <col min="9" max="9" width="24.28515625" style="60" customWidth="1"/>
    <col min="10" max="10" width="22.140625" style="60" customWidth="1"/>
    <col min="11" max="12" width="20.7109375" style="60" customWidth="1"/>
    <col min="13" max="13" width="19.140625" style="60" customWidth="1"/>
    <col min="14" max="14" width="19.42578125" style="60" customWidth="1"/>
    <col min="15" max="16" width="20.7109375" style="62" customWidth="1"/>
    <col min="17" max="17" width="24.28515625" style="62" customWidth="1"/>
    <col min="18" max="21" width="20.7109375" style="62" customWidth="1"/>
    <col min="22" max="22" width="22.140625" style="691" customWidth="1"/>
    <col min="23" max="26" width="20.7109375" style="62" customWidth="1"/>
    <col min="27" max="33" width="20.7109375" style="60" customWidth="1"/>
    <col min="34" max="34" width="19.85546875" style="60" bestFit="1" customWidth="1"/>
    <col min="35" max="38" width="15.85546875" style="60" bestFit="1" customWidth="1"/>
    <col min="39" max="43" width="16" style="60" customWidth="1"/>
    <col min="44" max="47" width="10.7109375" style="60" customWidth="1"/>
    <col min="48" max="48" width="16" style="60" bestFit="1" customWidth="1"/>
    <col min="49" max="49" width="15.85546875" style="60" bestFit="1" customWidth="1"/>
    <col min="50" max="50" width="20.7109375" style="60" bestFit="1" customWidth="1"/>
    <col min="51" max="51" width="15.85546875" style="60" bestFit="1" customWidth="1"/>
    <col min="52" max="52" width="15.7109375" style="60"/>
    <col min="53" max="53" width="20" style="60" customWidth="1"/>
    <col min="54" max="55" width="10.7109375" style="60" customWidth="1"/>
    <col min="56" max="16384" width="15.7109375" style="60"/>
  </cols>
  <sheetData>
    <row r="1" spans="2:83" ht="30" customHeight="1" x14ac:dyDescent="0.2">
      <c r="C1" s="61"/>
      <c r="D1" s="61"/>
      <c r="E1" s="61"/>
      <c r="F1" s="61"/>
      <c r="G1" s="61"/>
      <c r="H1" s="61"/>
      <c r="I1" s="61"/>
      <c r="J1" s="61"/>
      <c r="K1" s="61"/>
      <c r="L1" s="61"/>
      <c r="M1" s="61"/>
    </row>
    <row r="2" spans="2:83" ht="30" customHeight="1" thickBot="1" x14ac:dyDescent="0.25">
      <c r="B2" s="61"/>
      <c r="C2" s="61"/>
      <c r="D2" s="61"/>
      <c r="E2" s="61"/>
      <c r="F2" s="61"/>
      <c r="G2" s="61"/>
      <c r="H2" s="61"/>
      <c r="I2" s="61"/>
      <c r="J2" s="61"/>
      <c r="K2" s="61"/>
      <c r="L2" s="61"/>
      <c r="M2" s="61"/>
    </row>
    <row r="3" spans="2:83" ht="30" customHeight="1" x14ac:dyDescent="0.2">
      <c r="B3" s="61"/>
      <c r="C3" s="949" t="s">
        <v>105</v>
      </c>
      <c r="D3" s="950"/>
      <c r="E3" s="950"/>
      <c r="F3" s="950"/>
      <c r="G3" s="950"/>
      <c r="H3" s="950"/>
      <c r="I3" s="950"/>
      <c r="J3" s="950"/>
      <c r="K3" s="950"/>
      <c r="L3" s="950"/>
      <c r="M3" s="950"/>
      <c r="N3" s="951"/>
    </row>
    <row r="4" spans="2:83" ht="30" customHeight="1" thickBot="1" x14ac:dyDescent="0.25">
      <c r="B4" s="61"/>
      <c r="C4" s="952"/>
      <c r="D4" s="953"/>
      <c r="E4" s="953"/>
      <c r="F4" s="953"/>
      <c r="G4" s="953"/>
      <c r="H4" s="953"/>
      <c r="I4" s="953"/>
      <c r="J4" s="953"/>
      <c r="K4" s="953"/>
      <c r="L4" s="953"/>
      <c r="M4" s="953"/>
      <c r="N4" s="954"/>
    </row>
    <row r="5" spans="2:83" ht="30" customHeight="1" x14ac:dyDescent="0.2">
      <c r="B5" s="61"/>
      <c r="C5" s="1032" t="s">
        <v>106</v>
      </c>
      <c r="D5" s="1034" t="s">
        <v>6</v>
      </c>
      <c r="E5" s="1034" t="s">
        <v>107</v>
      </c>
      <c r="F5" s="1034" t="s">
        <v>7</v>
      </c>
      <c r="G5" s="1034" t="s">
        <v>359</v>
      </c>
      <c r="H5" s="1034" t="s">
        <v>501</v>
      </c>
      <c r="I5" s="1034" t="s">
        <v>184</v>
      </c>
      <c r="J5" s="1034" t="s">
        <v>360</v>
      </c>
      <c r="K5" s="1034" t="s">
        <v>250</v>
      </c>
      <c r="L5" s="1111"/>
      <c r="M5" s="1011" t="s">
        <v>367</v>
      </c>
      <c r="N5" s="1013" t="s">
        <v>236</v>
      </c>
    </row>
    <row r="6" spans="2:83" ht="30" customHeight="1" thickBot="1" x14ac:dyDescent="0.25">
      <c r="B6" s="61"/>
      <c r="C6" s="1033"/>
      <c r="D6" s="1035"/>
      <c r="E6" s="1035"/>
      <c r="F6" s="1035"/>
      <c r="G6" s="1035"/>
      <c r="H6" s="1035"/>
      <c r="I6" s="1035"/>
      <c r="J6" s="1035"/>
      <c r="K6" s="1035"/>
      <c r="L6" s="1112"/>
      <c r="M6" s="1012" t="s">
        <v>235</v>
      </c>
      <c r="N6" s="1014"/>
    </row>
    <row r="7" spans="2:83" ht="30" customHeight="1" x14ac:dyDescent="0.2">
      <c r="B7" s="61"/>
      <c r="C7" s="114"/>
      <c r="D7" s="115"/>
      <c r="E7" s="115"/>
      <c r="F7" s="115"/>
      <c r="G7" s="115"/>
      <c r="H7" s="115"/>
      <c r="I7" s="115"/>
      <c r="J7" s="115"/>
      <c r="K7" s="115"/>
      <c r="L7" s="116"/>
      <c r="M7" s="119"/>
      <c r="N7" s="116"/>
    </row>
    <row r="8" spans="2:83" s="67" customFormat="1" ht="75" customHeight="1" x14ac:dyDescent="0.25">
      <c r="B8" s="66"/>
      <c r="C8" s="240">
        <v>1</v>
      </c>
      <c r="D8" s="319"/>
      <c r="E8" s="320"/>
      <c r="F8" s="321"/>
      <c r="G8" s="321"/>
      <c r="H8" s="405"/>
      <c r="I8" s="320"/>
      <c r="J8" s="319"/>
      <c r="K8" s="319"/>
      <c r="L8" s="284"/>
      <c r="M8" s="285">
        <v>2</v>
      </c>
      <c r="N8" s="416">
        <v>0.95</v>
      </c>
      <c r="V8" s="692"/>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CD8" s="60"/>
      <c r="CE8" s="60"/>
    </row>
    <row r="9" spans="2:83" s="67" customFormat="1" ht="30" customHeight="1" thickBot="1" x14ac:dyDescent="0.3">
      <c r="B9" s="66"/>
      <c r="C9" s="68"/>
      <c r="D9" s="69"/>
      <c r="E9" s="69"/>
      <c r="F9" s="69"/>
      <c r="G9" s="69"/>
      <c r="H9" s="69"/>
      <c r="I9" s="69"/>
      <c r="J9" s="69"/>
      <c r="K9" s="69"/>
      <c r="L9" s="113"/>
      <c r="M9" s="117"/>
      <c r="N9" s="118"/>
      <c r="V9" s="69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CD9" s="60"/>
      <c r="CE9" s="60"/>
    </row>
    <row r="10" spans="2:83" s="67" customFormat="1" ht="30" customHeight="1" x14ac:dyDescent="0.25">
      <c r="B10" s="66"/>
      <c r="C10" s="66"/>
      <c r="D10" s="66"/>
      <c r="E10" s="66"/>
      <c r="F10" s="66"/>
      <c r="G10" s="66"/>
      <c r="H10" s="66"/>
      <c r="I10" s="66"/>
      <c r="J10" s="66"/>
      <c r="K10" s="66"/>
      <c r="L10" s="66"/>
      <c r="M10" s="61"/>
      <c r="V10" s="692"/>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CD10" s="60"/>
      <c r="CE10" s="60"/>
    </row>
    <row r="11" spans="2:83" s="67" customFormat="1" ht="30" customHeight="1" thickBot="1" x14ac:dyDescent="0.3">
      <c r="B11" s="66"/>
      <c r="C11" s="66"/>
      <c r="D11" s="66"/>
      <c r="E11" s="66"/>
      <c r="F11" s="66"/>
      <c r="G11" s="66"/>
      <c r="H11" s="66"/>
      <c r="I11" s="66"/>
      <c r="J11" s="66"/>
      <c r="K11" s="66"/>
      <c r="L11" s="66"/>
      <c r="M11" s="61"/>
      <c r="V11" s="692"/>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CD11" s="60"/>
      <c r="CE11" s="60"/>
    </row>
    <row r="12" spans="2:83" s="67" customFormat="1" ht="30" customHeight="1" x14ac:dyDescent="0.25">
      <c r="B12" s="66"/>
      <c r="C12" s="949" t="s">
        <v>187</v>
      </c>
      <c r="D12" s="950"/>
      <c r="E12" s="950"/>
      <c r="F12" s="950"/>
      <c r="G12" s="950"/>
      <c r="H12" s="950"/>
      <c r="I12" s="950"/>
      <c r="J12" s="950"/>
      <c r="K12" s="950"/>
      <c r="L12" s="951"/>
      <c r="M12" s="61"/>
      <c r="N12" s="60"/>
      <c r="V12" s="692"/>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CD12" s="60"/>
      <c r="CE12" s="60"/>
    </row>
    <row r="13" spans="2:83" ht="30" customHeight="1" thickBot="1" x14ac:dyDescent="0.25">
      <c r="B13" s="66"/>
      <c r="C13" s="952"/>
      <c r="D13" s="953"/>
      <c r="E13" s="953"/>
      <c r="F13" s="953"/>
      <c r="G13" s="953"/>
      <c r="H13" s="953"/>
      <c r="I13" s="953"/>
      <c r="J13" s="953"/>
      <c r="K13" s="953"/>
      <c r="L13" s="954"/>
      <c r="M13" s="61"/>
    </row>
    <row r="14" spans="2:83" ht="30" customHeight="1" x14ac:dyDescent="0.2">
      <c r="B14" s="66"/>
      <c r="C14" s="1036" t="s">
        <v>106</v>
      </c>
      <c r="D14" s="1038" t="s">
        <v>3</v>
      </c>
      <c r="E14" s="1038" t="s">
        <v>8</v>
      </c>
      <c r="F14" s="1038" t="s">
        <v>1</v>
      </c>
      <c r="G14" s="1040" t="s">
        <v>496</v>
      </c>
      <c r="H14" s="1040" t="s">
        <v>497</v>
      </c>
      <c r="I14" s="1038" t="s">
        <v>249</v>
      </c>
      <c r="J14" s="1038" t="s">
        <v>369</v>
      </c>
      <c r="K14" s="1042" t="s">
        <v>246</v>
      </c>
      <c r="L14" s="1043" t="s">
        <v>250</v>
      </c>
      <c r="M14" s="61"/>
    </row>
    <row r="15" spans="2:83" ht="30" customHeight="1" thickBot="1" x14ac:dyDescent="0.25">
      <c r="B15" s="66"/>
      <c r="C15" s="1037"/>
      <c r="D15" s="1039"/>
      <c r="E15" s="1039"/>
      <c r="F15" s="1039"/>
      <c r="G15" s="1041"/>
      <c r="H15" s="1041"/>
      <c r="I15" s="1039"/>
      <c r="J15" s="1039"/>
      <c r="K15" s="1035"/>
      <c r="L15" s="1044"/>
      <c r="M15" s="61"/>
    </row>
    <row r="16" spans="2:83" ht="30" customHeight="1" x14ac:dyDescent="0.2">
      <c r="B16" s="66"/>
      <c r="C16" s="63"/>
      <c r="D16" s="64"/>
      <c r="E16" s="64"/>
      <c r="F16" s="64"/>
      <c r="G16" s="64"/>
      <c r="H16" s="64"/>
      <c r="I16" s="64"/>
      <c r="J16" s="64"/>
      <c r="K16" s="64"/>
      <c r="L16" s="65"/>
      <c r="M16" s="61"/>
    </row>
    <row r="17" spans="2:46" ht="30" customHeight="1" x14ac:dyDescent="0.2">
      <c r="B17" s="66"/>
      <c r="C17" s="240">
        <v>1</v>
      </c>
      <c r="D17" s="321"/>
      <c r="E17" s="321"/>
      <c r="F17" s="321"/>
      <c r="G17" s="322"/>
      <c r="H17" s="321"/>
      <c r="I17" s="321"/>
      <c r="J17" s="321"/>
      <c r="K17" s="317">
        <f>J8</f>
        <v>0</v>
      </c>
      <c r="L17" s="318">
        <f>K8</f>
        <v>0</v>
      </c>
      <c r="M17" s="61"/>
    </row>
    <row r="18" spans="2:46" ht="30" customHeight="1" thickBot="1" x14ac:dyDescent="0.25">
      <c r="B18" s="66"/>
      <c r="C18" s="70"/>
      <c r="D18" s="71"/>
      <c r="E18" s="71"/>
      <c r="F18" s="71"/>
      <c r="G18" s="72"/>
      <c r="H18" s="72"/>
      <c r="I18" s="71"/>
      <c r="J18" s="71"/>
      <c r="K18" s="72"/>
      <c r="L18" s="73"/>
      <c r="M18" s="61"/>
    </row>
    <row r="19" spans="2:46" ht="30" customHeight="1" x14ac:dyDescent="0.2">
      <c r="B19" s="66"/>
      <c r="C19" s="66"/>
      <c r="D19" s="66"/>
      <c r="E19" s="66"/>
      <c r="F19" s="66"/>
      <c r="G19" s="66"/>
      <c r="H19" s="66"/>
      <c r="I19" s="66"/>
      <c r="J19" s="66"/>
      <c r="K19" s="66"/>
      <c r="L19" s="66"/>
      <c r="M19" s="61"/>
    </row>
    <row r="20" spans="2:46" ht="30" customHeight="1" x14ac:dyDescent="0.2">
      <c r="B20" s="66"/>
      <c r="C20" s="66"/>
      <c r="D20" s="66"/>
      <c r="E20" s="66"/>
      <c r="F20" s="66"/>
      <c r="G20" s="66"/>
      <c r="H20" s="66"/>
      <c r="I20" s="66"/>
      <c r="J20" s="66"/>
      <c r="K20" s="66"/>
      <c r="L20" s="66"/>
      <c r="M20" s="61"/>
      <c r="AS20" s="66"/>
      <c r="AT20" s="61"/>
    </row>
    <row r="21" spans="2:46" ht="30" customHeight="1" x14ac:dyDescent="0.2">
      <c r="B21" s="66"/>
      <c r="C21" s="66"/>
      <c r="D21" s="66"/>
      <c r="E21" s="66"/>
      <c r="F21" s="66"/>
      <c r="G21" s="66"/>
      <c r="H21" s="66"/>
      <c r="I21" s="66"/>
      <c r="J21" s="66"/>
      <c r="K21" s="66"/>
      <c r="L21" s="66"/>
      <c r="M21" s="61"/>
      <c r="AS21" s="66"/>
      <c r="AT21" s="61"/>
    </row>
    <row r="22" spans="2:46" ht="30" customHeight="1" thickBot="1" x14ac:dyDescent="0.25">
      <c r="B22" s="66"/>
      <c r="C22" s="66"/>
      <c r="D22" s="66"/>
      <c r="E22" s="66"/>
      <c r="F22" s="66"/>
      <c r="G22" s="66"/>
      <c r="H22" s="66"/>
      <c r="I22" s="66"/>
      <c r="J22" s="66"/>
      <c r="K22" s="66"/>
      <c r="L22" s="66"/>
      <c r="M22" s="61"/>
      <c r="AS22" s="66"/>
      <c r="AT22" s="61"/>
    </row>
    <row r="23" spans="2:46" ht="30" customHeight="1" x14ac:dyDescent="0.2">
      <c r="B23" s="66"/>
      <c r="C23" s="949" t="s">
        <v>189</v>
      </c>
      <c r="D23" s="950"/>
      <c r="E23" s="950"/>
      <c r="F23" s="950"/>
      <c r="G23" s="950"/>
      <c r="H23" s="950"/>
      <c r="I23" s="950"/>
      <c r="J23" s="950"/>
      <c r="K23" s="950"/>
      <c r="L23" s="950"/>
      <c r="M23" s="950"/>
      <c r="N23" s="950"/>
      <c r="O23" s="950"/>
      <c r="P23" s="950"/>
      <c r="Q23" s="950"/>
      <c r="R23" s="950"/>
      <c r="S23" s="950"/>
      <c r="T23" s="950"/>
      <c r="U23" s="950"/>
      <c r="V23" s="951"/>
      <c r="AS23" s="66"/>
      <c r="AT23" s="61"/>
    </row>
    <row r="24" spans="2:46" ht="30" customHeight="1" thickBot="1" x14ac:dyDescent="0.25">
      <c r="B24" s="66"/>
      <c r="C24" s="952"/>
      <c r="D24" s="953"/>
      <c r="E24" s="953"/>
      <c r="F24" s="953"/>
      <c r="G24" s="953"/>
      <c r="H24" s="953"/>
      <c r="I24" s="953"/>
      <c r="J24" s="953"/>
      <c r="K24" s="953"/>
      <c r="L24" s="953"/>
      <c r="M24" s="953"/>
      <c r="N24" s="953"/>
      <c r="O24" s="953"/>
      <c r="P24" s="953"/>
      <c r="Q24" s="953"/>
      <c r="R24" s="953"/>
      <c r="S24" s="953"/>
      <c r="T24" s="953"/>
      <c r="U24" s="953"/>
      <c r="V24" s="954"/>
      <c r="AS24" s="66"/>
      <c r="AT24" s="61"/>
    </row>
    <row r="25" spans="2:46" ht="30" customHeight="1" x14ac:dyDescent="0.2">
      <c r="B25" s="66"/>
      <c r="C25" s="1026" t="s">
        <v>109</v>
      </c>
      <c r="D25" s="1028" t="s">
        <v>0</v>
      </c>
      <c r="E25" s="1028" t="s">
        <v>3</v>
      </c>
      <c r="F25" s="1028" t="s">
        <v>1</v>
      </c>
      <c r="G25" s="1028" t="s">
        <v>110</v>
      </c>
      <c r="H25" s="1030" t="s">
        <v>379</v>
      </c>
      <c r="I25" s="1030" t="s">
        <v>378</v>
      </c>
      <c r="J25" s="947" t="s">
        <v>498</v>
      </c>
      <c r="K25" s="947" t="s">
        <v>190</v>
      </c>
      <c r="L25" s="947" t="s">
        <v>191</v>
      </c>
      <c r="M25" s="947" t="s">
        <v>380</v>
      </c>
      <c r="N25" s="1030" t="s">
        <v>406</v>
      </c>
      <c r="O25" s="947" t="s">
        <v>376</v>
      </c>
      <c r="P25" s="1030" t="s">
        <v>377</v>
      </c>
      <c r="Q25" s="457" t="s">
        <v>407</v>
      </c>
      <c r="R25" s="947" t="s">
        <v>499</v>
      </c>
      <c r="S25" s="947" t="s">
        <v>500</v>
      </c>
      <c r="T25" s="947" t="s">
        <v>111</v>
      </c>
      <c r="U25" s="1018" t="s">
        <v>90</v>
      </c>
      <c r="V25" s="947" t="s">
        <v>408</v>
      </c>
      <c r="AS25" s="66"/>
    </row>
    <row r="26" spans="2:46" ht="42.75" customHeight="1" thickBot="1" x14ac:dyDescent="0.25">
      <c r="B26" s="66"/>
      <c r="C26" s="1027"/>
      <c r="D26" s="1029"/>
      <c r="E26" s="1029"/>
      <c r="F26" s="1029"/>
      <c r="G26" s="1029"/>
      <c r="H26" s="1031"/>
      <c r="I26" s="1031"/>
      <c r="J26" s="948"/>
      <c r="K26" s="948"/>
      <c r="L26" s="948"/>
      <c r="M26" s="948"/>
      <c r="N26" s="1031"/>
      <c r="O26" s="948"/>
      <c r="P26" s="1031"/>
      <c r="Q26" s="564" t="s">
        <v>436</v>
      </c>
      <c r="R26" s="948"/>
      <c r="S26" s="948"/>
      <c r="T26" s="948"/>
      <c r="U26" s="1019"/>
      <c r="V26" s="948"/>
      <c r="AS26" s="66"/>
    </row>
    <row r="27" spans="2:46" ht="30" customHeight="1" thickBot="1" x14ac:dyDescent="0.25">
      <c r="B27" s="66"/>
      <c r="C27" s="588"/>
      <c r="D27" s="589"/>
      <c r="E27" s="589"/>
      <c r="F27" s="589"/>
      <c r="G27" s="589"/>
      <c r="H27" s="589"/>
      <c r="I27" s="589"/>
      <c r="J27" s="589"/>
      <c r="K27" s="589"/>
      <c r="L27" s="589"/>
      <c r="M27" s="590"/>
      <c r="N27" s="589"/>
      <c r="O27" s="591"/>
      <c r="P27" s="591"/>
      <c r="Q27" s="589"/>
      <c r="R27" s="591"/>
      <c r="S27" s="589"/>
      <c r="T27" s="591"/>
      <c r="U27" s="592"/>
      <c r="V27" s="693"/>
      <c r="AS27" s="66"/>
    </row>
    <row r="28" spans="2:46" ht="30" customHeight="1" x14ac:dyDescent="0.2">
      <c r="B28" s="1015" t="s">
        <v>348</v>
      </c>
      <c r="C28" s="135" t="s">
        <v>326</v>
      </c>
      <c r="D28" s="136" t="s">
        <v>188</v>
      </c>
      <c r="E28" s="136" t="s">
        <v>170</v>
      </c>
      <c r="F28" s="136">
        <v>27696</v>
      </c>
      <c r="G28" s="136" t="s">
        <v>171</v>
      </c>
      <c r="H28" s="136">
        <v>1519</v>
      </c>
      <c r="I28" s="339">
        <v>43726</v>
      </c>
      <c r="J28" s="136">
        <v>5</v>
      </c>
      <c r="K28" s="136">
        <v>1</v>
      </c>
      <c r="L28" s="136">
        <v>1</v>
      </c>
      <c r="M28" s="323">
        <v>7.0000000000000007E-2</v>
      </c>
      <c r="N28" s="138">
        <v>7.0000000000000007E-2</v>
      </c>
      <c r="O28" s="475">
        <f>J28+(M28)/1000</f>
        <v>5.00007</v>
      </c>
      <c r="P28" s="137">
        <f t="shared" ref="P28:P33" si="0">J28+(N28)/1000</f>
        <v>5.00007</v>
      </c>
      <c r="Q28" s="477">
        <f t="shared" ref="Q28:Q33" si="1">(P28-O28)/SQRT(3)*1000</f>
        <v>0</v>
      </c>
      <c r="R28" s="138">
        <v>0.05</v>
      </c>
      <c r="S28" s="139">
        <f>(0.34848*((752.6+754.7)/2)-0.009024*((44.6+52.7)/2)*EXP(0.0612*((20.5+21)/2)))/(273.15+((20.5+21)/2))</f>
        <v>0.88829136227968475</v>
      </c>
      <c r="T28" s="136" t="s">
        <v>193</v>
      </c>
      <c r="U28" s="556" t="s">
        <v>242</v>
      </c>
      <c r="V28" s="955">
        <v>2</v>
      </c>
      <c r="AS28" s="66"/>
    </row>
    <row r="29" spans="2:46" ht="30" customHeight="1" x14ac:dyDescent="0.2">
      <c r="B29" s="1016"/>
      <c r="C29" s="140" t="s">
        <v>327</v>
      </c>
      <c r="D29" s="129" t="s">
        <v>188</v>
      </c>
      <c r="E29" s="129" t="s">
        <v>170</v>
      </c>
      <c r="F29" s="129">
        <v>27696</v>
      </c>
      <c r="G29" s="129" t="s">
        <v>171</v>
      </c>
      <c r="H29" s="129">
        <v>1519</v>
      </c>
      <c r="I29" s="334">
        <v>43726</v>
      </c>
      <c r="J29" s="129">
        <v>200</v>
      </c>
      <c r="K29" s="129">
        <v>2</v>
      </c>
      <c r="L29" s="129">
        <v>2</v>
      </c>
      <c r="M29" s="333">
        <v>0.1</v>
      </c>
      <c r="N29" s="129">
        <v>0.1</v>
      </c>
      <c r="O29" s="485">
        <f t="shared" ref="O29:O88" si="2">J29+(M29)/1000</f>
        <v>200.0001</v>
      </c>
      <c r="P29" s="141">
        <f t="shared" si="0"/>
        <v>200.0001</v>
      </c>
      <c r="Q29" s="486">
        <f t="shared" si="1"/>
        <v>0</v>
      </c>
      <c r="R29" s="131">
        <v>0.33</v>
      </c>
      <c r="S29" s="130">
        <f t="shared" ref="S29:S32" si="3">(0.34848*((752.6+754.7)/2)-0.009024*((44.6+52.7)/2)*EXP(0.0612*((20.5+21)/2)))/(273.15+((20.5+21)/2))</f>
        <v>0.88829136227968475</v>
      </c>
      <c r="T29" s="129" t="s">
        <v>193</v>
      </c>
      <c r="U29" s="557" t="s">
        <v>242</v>
      </c>
      <c r="V29" s="956"/>
      <c r="AS29" s="66"/>
    </row>
    <row r="30" spans="2:46" ht="30" customHeight="1" x14ac:dyDescent="0.2">
      <c r="B30" s="1016"/>
      <c r="C30" s="140" t="s">
        <v>328</v>
      </c>
      <c r="D30" s="129" t="s">
        <v>188</v>
      </c>
      <c r="E30" s="129" t="s">
        <v>170</v>
      </c>
      <c r="F30" s="129">
        <v>27696</v>
      </c>
      <c r="G30" s="129" t="s">
        <v>171</v>
      </c>
      <c r="H30" s="129">
        <v>1519</v>
      </c>
      <c r="I30" s="334">
        <v>43726</v>
      </c>
      <c r="J30" s="129">
        <v>1000</v>
      </c>
      <c r="K30" s="129">
        <v>5</v>
      </c>
      <c r="L30" s="129">
        <v>5</v>
      </c>
      <c r="M30" s="333">
        <v>-0.5</v>
      </c>
      <c r="N30" s="129">
        <v>-0.6</v>
      </c>
      <c r="O30" s="485">
        <f t="shared" si="2"/>
        <v>999.99950000000001</v>
      </c>
      <c r="P30" s="250">
        <f t="shared" si="0"/>
        <v>999.99940000000004</v>
      </c>
      <c r="Q30" s="325">
        <f t="shared" si="1"/>
        <v>-5.7735026904469904E-2</v>
      </c>
      <c r="R30" s="131">
        <v>1.6</v>
      </c>
      <c r="S30" s="130">
        <f t="shared" si="3"/>
        <v>0.88829136227968475</v>
      </c>
      <c r="T30" s="129" t="s">
        <v>193</v>
      </c>
      <c r="U30" s="557" t="s">
        <v>242</v>
      </c>
      <c r="V30" s="956"/>
      <c r="AS30" s="66"/>
    </row>
    <row r="31" spans="2:46" ht="30" customHeight="1" x14ac:dyDescent="0.2">
      <c r="B31" s="1016"/>
      <c r="C31" s="140" t="s">
        <v>329</v>
      </c>
      <c r="D31" s="129" t="s">
        <v>188</v>
      </c>
      <c r="E31" s="129" t="s">
        <v>170</v>
      </c>
      <c r="F31" s="129">
        <v>27696</v>
      </c>
      <c r="G31" s="129" t="s">
        <v>171</v>
      </c>
      <c r="H31" s="129">
        <v>1519</v>
      </c>
      <c r="I31" s="334">
        <v>43726</v>
      </c>
      <c r="J31" s="129">
        <v>2000</v>
      </c>
      <c r="K31" s="129">
        <v>10</v>
      </c>
      <c r="L31" s="129">
        <v>10</v>
      </c>
      <c r="M31" s="333">
        <v>3.6</v>
      </c>
      <c r="N31" s="129">
        <v>3.5</v>
      </c>
      <c r="O31" s="485">
        <f t="shared" si="2"/>
        <v>2000.0036</v>
      </c>
      <c r="P31" s="250">
        <f t="shared" si="0"/>
        <v>2000.0035</v>
      </c>
      <c r="Q31" s="325">
        <f t="shared" si="1"/>
        <v>-5.7735026904469904E-2</v>
      </c>
      <c r="R31" s="131">
        <v>3</v>
      </c>
      <c r="S31" s="130">
        <f t="shared" si="3"/>
        <v>0.88829136227968475</v>
      </c>
      <c r="T31" s="129" t="s">
        <v>193</v>
      </c>
      <c r="U31" s="557" t="s">
        <v>242</v>
      </c>
      <c r="V31" s="956"/>
      <c r="AS31" s="66"/>
    </row>
    <row r="32" spans="2:46" ht="30" customHeight="1" thickBot="1" x14ac:dyDescent="0.25">
      <c r="B32" s="1017"/>
      <c r="C32" s="142" t="s">
        <v>330</v>
      </c>
      <c r="D32" s="133" t="s">
        <v>188</v>
      </c>
      <c r="E32" s="133" t="s">
        <v>170</v>
      </c>
      <c r="F32" s="133">
        <v>27696</v>
      </c>
      <c r="G32" s="133" t="s">
        <v>171</v>
      </c>
      <c r="H32" s="133">
        <v>1519</v>
      </c>
      <c r="I32" s="338">
        <v>43726</v>
      </c>
      <c r="J32" s="133">
        <v>5000</v>
      </c>
      <c r="K32" s="133">
        <v>20</v>
      </c>
      <c r="L32" s="133">
        <v>20</v>
      </c>
      <c r="M32" s="399">
        <v>3.7</v>
      </c>
      <c r="N32" s="133">
        <v>3.6</v>
      </c>
      <c r="O32" s="488">
        <f t="shared" si="2"/>
        <v>5000.0037000000002</v>
      </c>
      <c r="P32" s="489">
        <f t="shared" si="0"/>
        <v>5000.0036</v>
      </c>
      <c r="Q32" s="402">
        <f t="shared" si="1"/>
        <v>-5.7735027035744159E-2</v>
      </c>
      <c r="R32" s="143">
        <v>8</v>
      </c>
      <c r="S32" s="134">
        <f t="shared" si="3"/>
        <v>0.88829136227968475</v>
      </c>
      <c r="T32" s="133" t="s">
        <v>193</v>
      </c>
      <c r="U32" s="558" t="s">
        <v>242</v>
      </c>
      <c r="V32" s="957"/>
      <c r="AS32" s="66"/>
    </row>
    <row r="33" spans="2:45" ht="30" customHeight="1" thickBot="1" x14ac:dyDescent="0.25">
      <c r="B33" s="75"/>
      <c r="C33" s="142" t="s">
        <v>430</v>
      </c>
      <c r="D33" s="476"/>
      <c r="E33" s="476"/>
      <c r="F33" s="476"/>
      <c r="G33" s="476"/>
      <c r="H33" s="476"/>
      <c r="I33" s="481"/>
      <c r="J33" s="476">
        <v>8200</v>
      </c>
      <c r="K33" s="476">
        <v>50</v>
      </c>
      <c r="L33" s="476">
        <v>50</v>
      </c>
      <c r="M33" s="476">
        <f>M32+M31+M30+M29</f>
        <v>6.9</v>
      </c>
      <c r="N33" s="476">
        <f>N32+N31+N30+N29</f>
        <v>6.6</v>
      </c>
      <c r="O33" s="585">
        <f t="shared" ref="O33" si="4">J33+(M33)/1000</f>
        <v>8200.0069000000003</v>
      </c>
      <c r="P33" s="586">
        <f t="shared" si="0"/>
        <v>8200.0066000000006</v>
      </c>
      <c r="Q33" s="587">
        <f t="shared" si="1"/>
        <v>-0.17320508058213546</v>
      </c>
      <c r="R33" s="476"/>
      <c r="S33" s="476"/>
      <c r="T33" s="476"/>
      <c r="U33" s="559"/>
      <c r="V33" s="694"/>
      <c r="AS33" s="66"/>
    </row>
    <row r="34" spans="2:45" ht="30" customHeight="1" x14ac:dyDescent="0.2">
      <c r="B34" s="75"/>
      <c r="C34" s="565"/>
      <c r="D34" s="464"/>
      <c r="E34" s="464"/>
      <c r="F34" s="464"/>
      <c r="G34" s="464"/>
      <c r="H34" s="464"/>
      <c r="I34" s="479"/>
      <c r="J34" s="464"/>
      <c r="K34" s="464">
        <v>100</v>
      </c>
      <c r="L34" s="464">
        <v>100</v>
      </c>
      <c r="M34" s="464"/>
      <c r="N34" s="464"/>
      <c r="O34" s="487"/>
      <c r="P34" s="480"/>
      <c r="Q34" s="464"/>
      <c r="R34" s="464"/>
      <c r="S34" s="464"/>
      <c r="T34" s="464"/>
      <c r="U34" s="560"/>
      <c r="V34" s="695"/>
      <c r="AS34" s="66"/>
    </row>
    <row r="35" spans="2:45" ht="30" customHeight="1" x14ac:dyDescent="0.2">
      <c r="B35" s="75"/>
      <c r="C35" s="565"/>
      <c r="D35" s="464"/>
      <c r="E35" s="464"/>
      <c r="F35" s="464"/>
      <c r="G35" s="464"/>
      <c r="H35" s="464"/>
      <c r="I35" s="479"/>
      <c r="J35" s="464"/>
      <c r="K35" s="464">
        <v>200</v>
      </c>
      <c r="L35" s="464">
        <v>200</v>
      </c>
      <c r="M35" s="464"/>
      <c r="N35" s="464"/>
      <c r="O35" s="487"/>
      <c r="P35" s="480"/>
      <c r="Q35" s="464"/>
      <c r="R35" s="464"/>
      <c r="S35" s="464"/>
      <c r="T35" s="464"/>
      <c r="U35" s="560"/>
      <c r="V35" s="695"/>
      <c r="AS35" s="66"/>
    </row>
    <row r="36" spans="2:45" ht="30" customHeight="1" x14ac:dyDescent="0.2">
      <c r="B36" s="75"/>
      <c r="C36" s="565"/>
      <c r="D36" s="464"/>
      <c r="E36" s="464"/>
      <c r="F36" s="464"/>
      <c r="G36" s="464"/>
      <c r="H36" s="464"/>
      <c r="I36" s="479"/>
      <c r="J36" s="464"/>
      <c r="K36" s="464">
        <v>500</v>
      </c>
      <c r="L36" s="464">
        <v>500</v>
      </c>
      <c r="M36" s="464"/>
      <c r="N36" s="464"/>
      <c r="O36" s="487"/>
      <c r="P36" s="480"/>
      <c r="Q36" s="464"/>
      <c r="R36" s="464"/>
      <c r="S36" s="464"/>
      <c r="T36" s="464"/>
      <c r="U36" s="560"/>
      <c r="V36" s="695"/>
      <c r="AS36" s="66"/>
    </row>
    <row r="37" spans="2:45" ht="30" customHeight="1" thickBot="1" x14ac:dyDescent="0.25">
      <c r="B37" s="66"/>
      <c r="C37" s="566"/>
      <c r="D37" s="478"/>
      <c r="E37" s="478"/>
      <c r="F37" s="478"/>
      <c r="G37" s="478"/>
      <c r="H37" s="478"/>
      <c r="I37" s="478"/>
      <c r="J37" s="478"/>
      <c r="K37" s="482">
        <v>1000</v>
      </c>
      <c r="L37" s="483">
        <v>1000</v>
      </c>
      <c r="M37" s="478"/>
      <c r="N37" s="478"/>
      <c r="O37" s="490"/>
      <c r="P37" s="478"/>
      <c r="Q37" s="478"/>
      <c r="R37" s="478"/>
      <c r="S37" s="484"/>
      <c r="T37" s="478"/>
      <c r="U37" s="561"/>
      <c r="V37" s="696"/>
      <c r="AS37" s="66"/>
    </row>
    <row r="38" spans="2:45" ht="30" customHeight="1" x14ac:dyDescent="0.2">
      <c r="B38" s="1025"/>
      <c r="C38" s="135" t="s">
        <v>112</v>
      </c>
      <c r="D38" s="136" t="s">
        <v>113</v>
      </c>
      <c r="E38" s="136" t="s">
        <v>103</v>
      </c>
      <c r="F38" s="136">
        <v>27129360</v>
      </c>
      <c r="G38" s="136" t="s">
        <v>114</v>
      </c>
      <c r="H38" s="136">
        <v>1393</v>
      </c>
      <c r="I38" s="339">
        <v>43228</v>
      </c>
      <c r="J38" s="136">
        <v>1</v>
      </c>
      <c r="K38" s="340">
        <v>2000</v>
      </c>
      <c r="L38" s="136">
        <v>2000</v>
      </c>
      <c r="M38" s="323">
        <v>6.0000000000000001E-3</v>
      </c>
      <c r="N38" s="136">
        <v>8.9999999999999993E-3</v>
      </c>
      <c r="O38" s="475">
        <f t="shared" si="2"/>
        <v>1.000006</v>
      </c>
      <c r="P38" s="137">
        <f t="shared" ref="P38:P69" si="5">J38+(N38)/1000</f>
        <v>1.0000089999999999</v>
      </c>
      <c r="Q38" s="323">
        <f t="shared" ref="Q38:Q69" si="6">(P38-O38)/SQRT(3)*1000</f>
        <v>1.732050807554585E-3</v>
      </c>
      <c r="R38" s="144">
        <v>0.01</v>
      </c>
      <c r="S38" s="139">
        <f>(0.34848*((751.2+755.4)/2)-0.009024*((48.4+57.9)/2)*EXP(0.0612*((19.5+20.7)/2)))/(273.15+((19.5+20.7)/2))</f>
        <v>0.88957844095478944</v>
      </c>
      <c r="T38" s="136" t="s">
        <v>115</v>
      </c>
      <c r="U38" s="556" t="s">
        <v>197</v>
      </c>
      <c r="V38" s="958">
        <v>2</v>
      </c>
      <c r="AS38" s="66"/>
    </row>
    <row r="39" spans="2:45" ht="30" customHeight="1" x14ac:dyDescent="0.2">
      <c r="B39" s="1023"/>
      <c r="C39" s="140" t="s">
        <v>116</v>
      </c>
      <c r="D39" s="129" t="s">
        <v>113</v>
      </c>
      <c r="E39" s="129" t="s">
        <v>103</v>
      </c>
      <c r="F39" s="129">
        <v>27129360</v>
      </c>
      <c r="G39" s="129" t="s">
        <v>117</v>
      </c>
      <c r="H39" s="129">
        <v>1393</v>
      </c>
      <c r="I39" s="334">
        <v>43228</v>
      </c>
      <c r="J39" s="129">
        <v>2</v>
      </c>
      <c r="K39" s="335">
        <v>4000</v>
      </c>
      <c r="L39" s="129">
        <v>5000</v>
      </c>
      <c r="M39" s="333">
        <v>6.0000000000000001E-3</v>
      </c>
      <c r="N39" s="146">
        <v>0.01</v>
      </c>
      <c r="O39" s="473">
        <f t="shared" si="2"/>
        <v>2.000006</v>
      </c>
      <c r="P39" s="145">
        <f t="shared" si="5"/>
        <v>2.0000100000000001</v>
      </c>
      <c r="Q39" s="333">
        <f t="shared" si="6"/>
        <v>2.3094010768249114E-3</v>
      </c>
      <c r="R39" s="129">
        <v>1.2E-2</v>
      </c>
      <c r="S39" s="130">
        <f>(0.34848*((751.2+755.4)/2)-0.009024*((48.4+57.9)/2)*EXP(0.0612*((19.5+20.7)/2)))/(273.15+((19.5+20.7)/2))</f>
        <v>0.88957844095478944</v>
      </c>
      <c r="T39" s="129" t="str">
        <f t="shared" ref="T39:T54" si="7">T38</f>
        <v>M-001</v>
      </c>
      <c r="U39" s="557" t="s">
        <v>197</v>
      </c>
      <c r="V39" s="959"/>
      <c r="AS39" s="66"/>
    </row>
    <row r="40" spans="2:45" ht="30" customHeight="1" x14ac:dyDescent="0.2">
      <c r="B40" s="1023"/>
      <c r="C40" s="140" t="s">
        <v>270</v>
      </c>
      <c r="D40" s="129" t="s">
        <v>113</v>
      </c>
      <c r="E40" s="129" t="s">
        <v>103</v>
      </c>
      <c r="F40" s="129">
        <v>27129360</v>
      </c>
      <c r="G40" s="129" t="s">
        <v>118</v>
      </c>
      <c r="H40" s="129">
        <v>1393</v>
      </c>
      <c r="I40" s="334">
        <v>43228</v>
      </c>
      <c r="J40" s="129">
        <v>2</v>
      </c>
      <c r="K40" s="335">
        <v>5000</v>
      </c>
      <c r="L40" s="129">
        <v>8000</v>
      </c>
      <c r="M40" s="333">
        <v>1.2999999999999999E-2</v>
      </c>
      <c r="N40" s="129">
        <v>1.7000000000000001E-2</v>
      </c>
      <c r="O40" s="473">
        <f t="shared" si="2"/>
        <v>2.000013</v>
      </c>
      <c r="P40" s="145">
        <f t="shared" si="5"/>
        <v>2.0000170000000002</v>
      </c>
      <c r="Q40" s="333">
        <f t="shared" si="6"/>
        <v>2.3094010768249114E-3</v>
      </c>
      <c r="R40" s="129">
        <v>1.2E-2</v>
      </c>
      <c r="S40" s="130">
        <f>(0.34848*((751.2+755.4)/2)-0.009024*((48.4+57.9)/2)*EXP(0.0612*((19.5+20.7)/2)))/(273.15+((19.5+20.7)/2))</f>
        <v>0.88957844095478944</v>
      </c>
      <c r="T40" s="129" t="str">
        <f t="shared" si="7"/>
        <v>M-001</v>
      </c>
      <c r="U40" s="557" t="s">
        <v>197</v>
      </c>
      <c r="V40" s="959"/>
      <c r="AS40" s="66"/>
    </row>
    <row r="41" spans="2:45" ht="30" customHeight="1" x14ac:dyDescent="0.2">
      <c r="B41" s="1023"/>
      <c r="C41" s="140" t="s">
        <v>119</v>
      </c>
      <c r="D41" s="129" t="s">
        <v>113</v>
      </c>
      <c r="E41" s="129" t="s">
        <v>103</v>
      </c>
      <c r="F41" s="129">
        <v>27129360</v>
      </c>
      <c r="G41" s="129" t="s">
        <v>120</v>
      </c>
      <c r="H41" s="129">
        <v>1393</v>
      </c>
      <c r="I41" s="334">
        <v>43228</v>
      </c>
      <c r="J41" s="129">
        <v>5</v>
      </c>
      <c r="K41" s="335">
        <v>10000</v>
      </c>
      <c r="L41" s="129">
        <v>8200</v>
      </c>
      <c r="M41" s="333">
        <v>-2E-3</v>
      </c>
      <c r="N41" s="146">
        <v>2E-3</v>
      </c>
      <c r="O41" s="473">
        <f t="shared" si="2"/>
        <v>4.9999979999999997</v>
      </c>
      <c r="P41" s="145">
        <f t="shared" si="5"/>
        <v>5.0000020000000003</v>
      </c>
      <c r="Q41" s="333">
        <f t="shared" si="6"/>
        <v>2.3094010770813066E-3</v>
      </c>
      <c r="R41" s="129">
        <v>1.6E-2</v>
      </c>
      <c r="S41" s="130">
        <f>(0.34848*((751.2+755.4)/2)-0.009024*((48.4+57.9)/2)*EXP(0.0612*((19.5+20.7)/2)))/(273.15+((19.5+20.7)/2))</f>
        <v>0.88957844095478944</v>
      </c>
      <c r="T41" s="129" t="str">
        <f t="shared" si="7"/>
        <v>M-001</v>
      </c>
      <c r="U41" s="557" t="s">
        <v>197</v>
      </c>
      <c r="V41" s="959"/>
      <c r="AS41" s="66"/>
    </row>
    <row r="42" spans="2:45" ht="30" customHeight="1" x14ac:dyDescent="0.2">
      <c r="B42" s="1023"/>
      <c r="C42" s="140" t="s">
        <v>121</v>
      </c>
      <c r="D42" s="129" t="s">
        <v>113</v>
      </c>
      <c r="E42" s="129" t="s">
        <v>103</v>
      </c>
      <c r="F42" s="129">
        <v>27129360</v>
      </c>
      <c r="G42" s="129" t="s">
        <v>122</v>
      </c>
      <c r="H42" s="129">
        <v>1393</v>
      </c>
      <c r="I42" s="334">
        <v>43228</v>
      </c>
      <c r="J42" s="129">
        <v>10</v>
      </c>
      <c r="K42" s="335">
        <v>15000</v>
      </c>
      <c r="L42" s="129">
        <v>10000</v>
      </c>
      <c r="M42" s="333">
        <v>4.0000000000000001E-3</v>
      </c>
      <c r="N42" s="129">
        <v>1.9E-2</v>
      </c>
      <c r="O42" s="473">
        <f t="shared" si="2"/>
        <v>10.000004000000001</v>
      </c>
      <c r="P42" s="145">
        <f t="shared" si="5"/>
        <v>10.000019</v>
      </c>
      <c r="Q42" s="333">
        <f t="shared" si="6"/>
        <v>8.660254037516529E-3</v>
      </c>
      <c r="R42" s="146">
        <v>0.02</v>
      </c>
      <c r="S42" s="130">
        <f t="shared" ref="S42:S54" si="8">(0.34848*((751.2+755.4)/2)-0.009024*((48.4+57.9)/2)*EXP(0.0612*((19.5+20.7)/2)))/(273.15+((19.5+20.7)/2))</f>
        <v>0.88957844095478944</v>
      </c>
      <c r="T42" s="129" t="str">
        <f t="shared" si="7"/>
        <v>M-001</v>
      </c>
      <c r="U42" s="557" t="s">
        <v>197</v>
      </c>
      <c r="V42" s="959"/>
      <c r="AS42" s="66"/>
    </row>
    <row r="43" spans="2:45" ht="30" customHeight="1" x14ac:dyDescent="0.2">
      <c r="B43" s="1023"/>
      <c r="C43" s="140" t="s">
        <v>123</v>
      </c>
      <c r="D43" s="129" t="s">
        <v>113</v>
      </c>
      <c r="E43" s="129" t="s">
        <v>103</v>
      </c>
      <c r="F43" s="129">
        <v>27129360</v>
      </c>
      <c r="G43" s="129" t="s">
        <v>124</v>
      </c>
      <c r="H43" s="129">
        <v>1393</v>
      </c>
      <c r="I43" s="334">
        <v>43228</v>
      </c>
      <c r="J43" s="129">
        <v>20</v>
      </c>
      <c r="K43" s="335">
        <v>20000</v>
      </c>
      <c r="L43" s="129">
        <v>15000</v>
      </c>
      <c r="M43" s="333">
        <v>2.7E-2</v>
      </c>
      <c r="N43" s="129">
        <v>2.5999999999999999E-2</v>
      </c>
      <c r="O43" s="473">
        <f t="shared" si="2"/>
        <v>20.000026999999999</v>
      </c>
      <c r="P43" s="145">
        <f t="shared" si="5"/>
        <v>20.000025999999998</v>
      </c>
      <c r="Q43" s="333">
        <f t="shared" si="6"/>
        <v>-5.7735026978311666E-4</v>
      </c>
      <c r="R43" s="129">
        <v>2.5000000000000001E-2</v>
      </c>
      <c r="S43" s="130">
        <f t="shared" si="8"/>
        <v>0.88957844095478944</v>
      </c>
      <c r="T43" s="129" t="str">
        <f t="shared" si="7"/>
        <v>M-001</v>
      </c>
      <c r="U43" s="557" t="s">
        <v>197</v>
      </c>
      <c r="V43" s="959"/>
      <c r="AS43" s="66"/>
    </row>
    <row r="44" spans="2:45" ht="30" customHeight="1" x14ac:dyDescent="0.2">
      <c r="B44" s="1023"/>
      <c r="C44" s="140" t="s">
        <v>271</v>
      </c>
      <c r="D44" s="129" t="s">
        <v>113</v>
      </c>
      <c r="E44" s="129" t="s">
        <v>103</v>
      </c>
      <c r="F44" s="129">
        <v>27129360</v>
      </c>
      <c r="G44" s="129" t="s">
        <v>125</v>
      </c>
      <c r="H44" s="129">
        <v>1393</v>
      </c>
      <c r="I44" s="334">
        <v>43228</v>
      </c>
      <c r="J44" s="129">
        <v>20</v>
      </c>
      <c r="K44" s="335">
        <v>25000</v>
      </c>
      <c r="L44" s="129">
        <v>20000</v>
      </c>
      <c r="M44" s="333">
        <v>7.0000000000000001E-3</v>
      </c>
      <c r="N44" s="129">
        <v>7.0000000000000001E-3</v>
      </c>
      <c r="O44" s="473">
        <f t="shared" si="2"/>
        <v>20.000007</v>
      </c>
      <c r="P44" s="145">
        <f t="shared" si="5"/>
        <v>20.000007</v>
      </c>
      <c r="Q44" s="333">
        <f t="shared" si="6"/>
        <v>0</v>
      </c>
      <c r="R44" s="129">
        <v>2.5000000000000001E-2</v>
      </c>
      <c r="S44" s="130">
        <f t="shared" si="8"/>
        <v>0.88957844095478944</v>
      </c>
      <c r="T44" s="129" t="str">
        <f t="shared" si="7"/>
        <v>M-001</v>
      </c>
      <c r="U44" s="557" t="s">
        <v>197</v>
      </c>
      <c r="V44" s="959"/>
      <c r="AS44" s="66"/>
    </row>
    <row r="45" spans="2:45" ht="30" customHeight="1" x14ac:dyDescent="0.2">
      <c r="B45" s="1023"/>
      <c r="C45" s="140" t="s">
        <v>126</v>
      </c>
      <c r="D45" s="129" t="s">
        <v>113</v>
      </c>
      <c r="E45" s="129" t="s">
        <v>103</v>
      </c>
      <c r="F45" s="129">
        <v>27129360</v>
      </c>
      <c r="G45" s="129" t="s">
        <v>127</v>
      </c>
      <c r="H45" s="129">
        <v>1393</v>
      </c>
      <c r="I45" s="334">
        <v>43228</v>
      </c>
      <c r="J45" s="129">
        <v>50</v>
      </c>
      <c r="K45" s="335">
        <v>30000</v>
      </c>
      <c r="L45" s="129">
        <v>25000</v>
      </c>
      <c r="M45" s="333">
        <v>0.03</v>
      </c>
      <c r="N45" s="129">
        <v>0.03</v>
      </c>
      <c r="O45" s="473">
        <f t="shared" si="2"/>
        <v>50.000030000000002</v>
      </c>
      <c r="P45" s="141">
        <f t="shared" si="5"/>
        <v>50.000030000000002</v>
      </c>
      <c r="Q45" s="333">
        <f t="shared" si="6"/>
        <v>0</v>
      </c>
      <c r="R45" s="129">
        <v>0.03</v>
      </c>
      <c r="S45" s="130">
        <f t="shared" si="8"/>
        <v>0.88957844095478944</v>
      </c>
      <c r="T45" s="129" t="str">
        <f t="shared" si="7"/>
        <v>M-001</v>
      </c>
      <c r="U45" s="557" t="s">
        <v>197</v>
      </c>
      <c r="V45" s="959"/>
      <c r="AS45" s="66"/>
    </row>
    <row r="46" spans="2:45" ht="30" customHeight="1" x14ac:dyDescent="0.2">
      <c r="B46" s="1023"/>
      <c r="C46" s="140" t="s">
        <v>128</v>
      </c>
      <c r="D46" s="129" t="s">
        <v>113</v>
      </c>
      <c r="E46" s="129" t="s">
        <v>103</v>
      </c>
      <c r="F46" s="129">
        <v>27129360</v>
      </c>
      <c r="G46" s="129" t="s">
        <v>129</v>
      </c>
      <c r="H46" s="129">
        <v>1393</v>
      </c>
      <c r="I46" s="334">
        <v>43228</v>
      </c>
      <c r="J46" s="129">
        <v>100</v>
      </c>
      <c r="K46" s="335">
        <v>35000</v>
      </c>
      <c r="L46" s="336">
        <v>35000</v>
      </c>
      <c r="M46" s="333">
        <v>0.06</v>
      </c>
      <c r="N46" s="129">
        <v>0.06</v>
      </c>
      <c r="O46" s="473">
        <f t="shared" si="2"/>
        <v>100.00006</v>
      </c>
      <c r="P46" s="141">
        <f t="shared" si="5"/>
        <v>100.00006</v>
      </c>
      <c r="Q46" s="333">
        <f t="shared" si="6"/>
        <v>0</v>
      </c>
      <c r="R46" s="129">
        <v>0.05</v>
      </c>
      <c r="S46" s="130">
        <f t="shared" si="8"/>
        <v>0.88957844095478944</v>
      </c>
      <c r="T46" s="129" t="str">
        <f t="shared" si="7"/>
        <v>M-001</v>
      </c>
      <c r="U46" s="557" t="s">
        <v>197</v>
      </c>
      <c r="V46" s="959"/>
      <c r="AS46" s="66"/>
    </row>
    <row r="47" spans="2:45" ht="30" customHeight="1" x14ac:dyDescent="0.2">
      <c r="B47" s="1023"/>
      <c r="C47" s="140" t="s">
        <v>130</v>
      </c>
      <c r="D47" s="129" t="s">
        <v>113</v>
      </c>
      <c r="E47" s="129" t="s">
        <v>103</v>
      </c>
      <c r="F47" s="129">
        <v>27129360</v>
      </c>
      <c r="G47" s="129" t="s">
        <v>131</v>
      </c>
      <c r="H47" s="129">
        <v>1393</v>
      </c>
      <c r="I47" s="334">
        <v>43228</v>
      </c>
      <c r="J47" s="129">
        <v>200</v>
      </c>
      <c r="K47" s="335">
        <v>40000</v>
      </c>
      <c r="L47" s="336">
        <v>40000</v>
      </c>
      <c r="M47" s="333">
        <v>-0.06</v>
      </c>
      <c r="N47" s="129">
        <v>-7.0000000000000007E-2</v>
      </c>
      <c r="O47" s="473">
        <f t="shared" si="2"/>
        <v>199.99994000000001</v>
      </c>
      <c r="P47" s="141">
        <f t="shared" si="5"/>
        <v>199.99993000000001</v>
      </c>
      <c r="Q47" s="333">
        <f t="shared" si="6"/>
        <v>-5.7735026937288467E-3</v>
      </c>
      <c r="R47" s="132">
        <v>0.1</v>
      </c>
      <c r="S47" s="130">
        <f t="shared" si="8"/>
        <v>0.88957844095478944</v>
      </c>
      <c r="T47" s="129" t="str">
        <f t="shared" si="7"/>
        <v>M-001</v>
      </c>
      <c r="U47" s="557" t="s">
        <v>197</v>
      </c>
      <c r="V47" s="959"/>
      <c r="AS47" s="66"/>
    </row>
    <row r="48" spans="2:45" ht="30" customHeight="1" x14ac:dyDescent="0.2">
      <c r="B48" s="1023"/>
      <c r="C48" s="140" t="s">
        <v>272</v>
      </c>
      <c r="D48" s="129" t="s">
        <v>113</v>
      </c>
      <c r="E48" s="129" t="s">
        <v>103</v>
      </c>
      <c r="F48" s="129">
        <v>27129360</v>
      </c>
      <c r="G48" s="129" t="s">
        <v>132</v>
      </c>
      <c r="H48" s="129">
        <v>1393</v>
      </c>
      <c r="I48" s="334">
        <v>43228</v>
      </c>
      <c r="J48" s="129">
        <v>200</v>
      </c>
      <c r="K48" s="335"/>
      <c r="L48" s="336">
        <v>45000</v>
      </c>
      <c r="M48" s="333">
        <v>0.16</v>
      </c>
      <c r="N48" s="129">
        <v>0.15</v>
      </c>
      <c r="O48" s="473">
        <f t="shared" si="2"/>
        <v>200.00015999999999</v>
      </c>
      <c r="P48" s="141">
        <f t="shared" si="5"/>
        <v>200.00014999999999</v>
      </c>
      <c r="Q48" s="333">
        <f t="shared" si="6"/>
        <v>-5.7735026937288467E-3</v>
      </c>
      <c r="R48" s="132">
        <v>0.1</v>
      </c>
      <c r="S48" s="130">
        <f t="shared" si="8"/>
        <v>0.88957844095478944</v>
      </c>
      <c r="T48" s="129" t="str">
        <f t="shared" si="7"/>
        <v>M-001</v>
      </c>
      <c r="U48" s="557" t="s">
        <v>197</v>
      </c>
      <c r="V48" s="959"/>
      <c r="AS48" s="66"/>
    </row>
    <row r="49" spans="2:48" ht="30" customHeight="1" x14ac:dyDescent="0.2">
      <c r="B49" s="1023"/>
      <c r="C49" s="140" t="s">
        <v>133</v>
      </c>
      <c r="D49" s="129" t="s">
        <v>113</v>
      </c>
      <c r="E49" s="129" t="s">
        <v>103</v>
      </c>
      <c r="F49" s="129">
        <v>27129360</v>
      </c>
      <c r="G49" s="129" t="s">
        <v>134</v>
      </c>
      <c r="H49" s="129">
        <v>1393</v>
      </c>
      <c r="I49" s="334">
        <v>43228</v>
      </c>
      <c r="J49" s="129">
        <v>500</v>
      </c>
      <c r="K49" s="335"/>
      <c r="L49" s="336">
        <v>50000</v>
      </c>
      <c r="M49" s="333">
        <v>0.35</v>
      </c>
      <c r="N49" s="129">
        <v>0.33</v>
      </c>
      <c r="O49" s="473">
        <f t="shared" si="2"/>
        <v>500.00035000000003</v>
      </c>
      <c r="P49" s="141">
        <f t="shared" si="5"/>
        <v>500.00033000000002</v>
      </c>
      <c r="Q49" s="333">
        <f t="shared" si="6"/>
        <v>-1.1547005387457693E-2</v>
      </c>
      <c r="R49" s="129">
        <v>0.25</v>
      </c>
      <c r="S49" s="130">
        <f t="shared" si="8"/>
        <v>0.88957844095478944</v>
      </c>
      <c r="T49" s="129" t="str">
        <f t="shared" si="7"/>
        <v>M-001</v>
      </c>
      <c r="U49" s="557" t="s">
        <v>197</v>
      </c>
      <c r="V49" s="959"/>
      <c r="AS49" s="66"/>
    </row>
    <row r="50" spans="2:48" ht="30" customHeight="1" x14ac:dyDescent="0.2">
      <c r="B50" s="1023"/>
      <c r="C50" s="140" t="s">
        <v>135</v>
      </c>
      <c r="D50" s="129" t="s">
        <v>113</v>
      </c>
      <c r="E50" s="129" t="s">
        <v>103</v>
      </c>
      <c r="F50" s="129">
        <v>27129360</v>
      </c>
      <c r="G50" s="129" t="s">
        <v>136</v>
      </c>
      <c r="H50" s="129">
        <v>1393</v>
      </c>
      <c r="I50" s="334">
        <v>43228</v>
      </c>
      <c r="J50" s="335">
        <v>1000</v>
      </c>
      <c r="K50" s="337"/>
      <c r="L50" s="336">
        <v>55000</v>
      </c>
      <c r="M50" s="333">
        <v>0.7</v>
      </c>
      <c r="N50" s="129">
        <v>0.7</v>
      </c>
      <c r="O50" s="473">
        <f t="shared" si="2"/>
        <v>1000.0007000000001</v>
      </c>
      <c r="P50" s="130">
        <f t="shared" si="5"/>
        <v>1000.0007000000001</v>
      </c>
      <c r="Q50" s="333">
        <f t="shared" si="6"/>
        <v>0</v>
      </c>
      <c r="R50" s="129">
        <v>0.5</v>
      </c>
      <c r="S50" s="130">
        <f t="shared" si="8"/>
        <v>0.88957844095478944</v>
      </c>
      <c r="T50" s="129" t="str">
        <f t="shared" si="7"/>
        <v>M-001</v>
      </c>
      <c r="U50" s="557" t="s">
        <v>197</v>
      </c>
      <c r="V50" s="959"/>
      <c r="AS50" s="66"/>
    </row>
    <row r="51" spans="2:48" ht="30" customHeight="1" x14ac:dyDescent="0.2">
      <c r="B51" s="1023"/>
      <c r="C51" s="140" t="s">
        <v>137</v>
      </c>
      <c r="D51" s="129" t="s">
        <v>113</v>
      </c>
      <c r="E51" s="129" t="s">
        <v>103</v>
      </c>
      <c r="F51" s="129">
        <v>27129360</v>
      </c>
      <c r="G51" s="129" t="s">
        <v>138</v>
      </c>
      <c r="H51" s="129">
        <v>1393</v>
      </c>
      <c r="I51" s="334">
        <v>43228</v>
      </c>
      <c r="J51" s="335">
        <v>2000</v>
      </c>
      <c r="K51" s="337"/>
      <c r="L51" s="336"/>
      <c r="M51" s="333">
        <v>1.2</v>
      </c>
      <c r="N51" s="129">
        <v>1.1000000000000001</v>
      </c>
      <c r="O51" s="473">
        <f t="shared" si="2"/>
        <v>2000.0011999999999</v>
      </c>
      <c r="P51" s="130">
        <f t="shared" si="5"/>
        <v>2000.0011</v>
      </c>
      <c r="Q51" s="333">
        <f t="shared" si="6"/>
        <v>-5.7735026904469904E-2</v>
      </c>
      <c r="R51" s="131">
        <v>1</v>
      </c>
      <c r="S51" s="130">
        <f t="shared" si="8"/>
        <v>0.88957844095478944</v>
      </c>
      <c r="T51" s="129" t="str">
        <f t="shared" si="7"/>
        <v>M-001</v>
      </c>
      <c r="U51" s="557" t="s">
        <v>197</v>
      </c>
      <c r="V51" s="959"/>
      <c r="AS51" s="66"/>
    </row>
    <row r="52" spans="2:48" ht="30" customHeight="1" x14ac:dyDescent="0.2">
      <c r="B52" s="1023"/>
      <c r="C52" s="140" t="s">
        <v>273</v>
      </c>
      <c r="D52" s="129" t="s">
        <v>113</v>
      </c>
      <c r="E52" s="129" t="s">
        <v>103</v>
      </c>
      <c r="F52" s="129">
        <v>27129360</v>
      </c>
      <c r="G52" s="129" t="s">
        <v>139</v>
      </c>
      <c r="H52" s="129">
        <v>1393</v>
      </c>
      <c r="I52" s="334">
        <v>43228</v>
      </c>
      <c r="J52" s="335">
        <v>2000</v>
      </c>
      <c r="K52" s="336"/>
      <c r="L52" s="336"/>
      <c r="M52" s="333">
        <v>1.1000000000000001</v>
      </c>
      <c r="N52" s="131">
        <v>1</v>
      </c>
      <c r="O52" s="473">
        <f t="shared" si="2"/>
        <v>2000.0011</v>
      </c>
      <c r="P52" s="130">
        <f t="shared" si="5"/>
        <v>2000.001</v>
      </c>
      <c r="Q52" s="333">
        <f t="shared" si="6"/>
        <v>-5.7735026904469904E-2</v>
      </c>
      <c r="R52" s="131">
        <v>1</v>
      </c>
      <c r="S52" s="130">
        <f t="shared" si="8"/>
        <v>0.88957844095478944</v>
      </c>
      <c r="T52" s="129" t="str">
        <f t="shared" si="7"/>
        <v>M-001</v>
      </c>
      <c r="U52" s="557" t="s">
        <v>197</v>
      </c>
      <c r="V52" s="959"/>
      <c r="AS52" s="66"/>
    </row>
    <row r="53" spans="2:48" ht="30" customHeight="1" x14ac:dyDescent="0.2">
      <c r="B53" s="1023"/>
      <c r="C53" s="140" t="s">
        <v>140</v>
      </c>
      <c r="D53" s="129" t="s">
        <v>113</v>
      </c>
      <c r="E53" s="129" t="s">
        <v>103</v>
      </c>
      <c r="F53" s="129">
        <v>27129360</v>
      </c>
      <c r="G53" s="129" t="s">
        <v>141</v>
      </c>
      <c r="H53" s="129">
        <v>1393</v>
      </c>
      <c r="I53" s="334">
        <v>43228</v>
      </c>
      <c r="J53" s="335">
        <v>5000</v>
      </c>
      <c r="K53" s="336"/>
      <c r="L53" s="337"/>
      <c r="M53" s="333">
        <v>3.7</v>
      </c>
      <c r="N53" s="129">
        <v>3.5</v>
      </c>
      <c r="O53" s="473">
        <f t="shared" si="2"/>
        <v>5000.0037000000002</v>
      </c>
      <c r="P53" s="130">
        <f t="shared" si="5"/>
        <v>5000.0034999999998</v>
      </c>
      <c r="Q53" s="333">
        <f t="shared" si="6"/>
        <v>-0.11547005407148832</v>
      </c>
      <c r="R53" s="129">
        <v>2.5</v>
      </c>
      <c r="S53" s="130">
        <f t="shared" si="8"/>
        <v>0.88957844095478944</v>
      </c>
      <c r="T53" s="129" t="str">
        <f t="shared" si="7"/>
        <v>M-001</v>
      </c>
      <c r="U53" s="557" t="s">
        <v>197</v>
      </c>
      <c r="V53" s="959"/>
      <c r="AS53" s="66"/>
    </row>
    <row r="54" spans="2:48" ht="30" customHeight="1" thickBot="1" x14ac:dyDescent="0.25">
      <c r="B54" s="1024"/>
      <c r="C54" s="468" t="s">
        <v>142</v>
      </c>
      <c r="D54" s="465" t="s">
        <v>113</v>
      </c>
      <c r="E54" s="465" t="s">
        <v>103</v>
      </c>
      <c r="F54" s="465">
        <v>27129360</v>
      </c>
      <c r="G54" s="465" t="s">
        <v>143</v>
      </c>
      <c r="H54" s="465">
        <v>1393</v>
      </c>
      <c r="I54" s="469">
        <v>43228</v>
      </c>
      <c r="J54" s="466">
        <v>10000</v>
      </c>
      <c r="K54" s="470"/>
      <c r="L54" s="471"/>
      <c r="M54" s="491">
        <v>8.6999999999999993</v>
      </c>
      <c r="N54" s="465">
        <v>8.1999999999999993</v>
      </c>
      <c r="O54" s="474">
        <f t="shared" si="2"/>
        <v>10000.0087</v>
      </c>
      <c r="P54" s="467">
        <f t="shared" si="5"/>
        <v>10000.0082</v>
      </c>
      <c r="Q54" s="491">
        <f t="shared" si="6"/>
        <v>-0.28867513465362377</v>
      </c>
      <c r="R54" s="472">
        <v>5</v>
      </c>
      <c r="S54" s="467">
        <f t="shared" si="8"/>
        <v>0.88957844095478944</v>
      </c>
      <c r="T54" s="465" t="str">
        <f t="shared" si="7"/>
        <v>M-001</v>
      </c>
      <c r="U54" s="562" t="s">
        <v>197</v>
      </c>
      <c r="V54" s="960"/>
      <c r="AS54" s="66"/>
    </row>
    <row r="55" spans="2:48" ht="30" customHeight="1" x14ac:dyDescent="0.2">
      <c r="B55" s="1023"/>
      <c r="C55" s="135" t="s">
        <v>144</v>
      </c>
      <c r="D55" s="136" t="s">
        <v>145</v>
      </c>
      <c r="E55" s="136" t="s">
        <v>198</v>
      </c>
      <c r="F55" s="136">
        <v>11119515</v>
      </c>
      <c r="G55" s="136">
        <v>1</v>
      </c>
      <c r="H55" s="136">
        <v>1405</v>
      </c>
      <c r="I55" s="339">
        <v>43252</v>
      </c>
      <c r="J55" s="340">
        <v>1</v>
      </c>
      <c r="K55" s="343"/>
      <c r="L55" s="344"/>
      <c r="M55" s="323">
        <v>0.04</v>
      </c>
      <c r="N55" s="136">
        <v>0.04</v>
      </c>
      <c r="O55" s="323">
        <f t="shared" si="2"/>
        <v>1.00004</v>
      </c>
      <c r="P55" s="147">
        <f t="shared" si="5"/>
        <v>1.00004</v>
      </c>
      <c r="Q55" s="323">
        <f t="shared" si="6"/>
        <v>0</v>
      </c>
      <c r="R55" s="136">
        <v>0.03</v>
      </c>
      <c r="S55" s="139">
        <f>(0.34848*((750.7+754.5)/2)-0.009024*((52.2+58.7)/2)*EXP(0.0612*((20+20.6)/2)))/(273.15+((20+20.6)/2))</f>
        <v>0.88782702273489045</v>
      </c>
      <c r="T55" s="136" t="s">
        <v>146</v>
      </c>
      <c r="U55" s="556" t="s">
        <v>197</v>
      </c>
      <c r="V55" s="955">
        <v>2</v>
      </c>
      <c r="AS55" s="66"/>
      <c r="AT55" s="61"/>
      <c r="AU55" s="61"/>
    </row>
    <row r="56" spans="2:48" ht="30" customHeight="1" x14ac:dyDescent="0.2">
      <c r="B56" s="1023"/>
      <c r="C56" s="140" t="s">
        <v>147</v>
      </c>
      <c r="D56" s="129" t="s">
        <v>145</v>
      </c>
      <c r="E56" s="129" t="s">
        <v>198</v>
      </c>
      <c r="F56" s="129">
        <v>11119515</v>
      </c>
      <c r="G56" s="129" t="s">
        <v>149</v>
      </c>
      <c r="H56" s="129">
        <v>1405</v>
      </c>
      <c r="I56" s="334">
        <v>43252</v>
      </c>
      <c r="J56" s="335">
        <v>2</v>
      </c>
      <c r="K56" s="336"/>
      <c r="L56" s="337"/>
      <c r="M56" s="333">
        <v>0.06</v>
      </c>
      <c r="N56" s="129">
        <v>0.04</v>
      </c>
      <c r="O56" s="333">
        <f t="shared" si="2"/>
        <v>2.0000599999999999</v>
      </c>
      <c r="P56" s="141">
        <f t="shared" si="5"/>
        <v>2.0000399999999998</v>
      </c>
      <c r="Q56" s="333">
        <f t="shared" si="6"/>
        <v>-1.1547005383868162E-2</v>
      </c>
      <c r="R56" s="129">
        <v>0.04</v>
      </c>
      <c r="S56" s="130">
        <f>(0.34848*((750.7+754.5)/2)-0.009024*((52.2+58.7)/2)*EXP(0.0612*((20+20.6)/2)))/(273.15+((20+20.6)/2))</f>
        <v>0.88782702273489045</v>
      </c>
      <c r="T56" s="129" t="str">
        <f t="shared" ref="T56:T70" si="9">T55</f>
        <v>M-002</v>
      </c>
      <c r="U56" s="557" t="s">
        <v>197</v>
      </c>
      <c r="V56" s="956"/>
      <c r="AS56" s="66"/>
      <c r="AT56" s="61"/>
      <c r="AU56" s="61"/>
    </row>
    <row r="57" spans="2:48" ht="30" customHeight="1" x14ac:dyDescent="0.2">
      <c r="B57" s="1023"/>
      <c r="C57" s="140" t="s">
        <v>148</v>
      </c>
      <c r="D57" s="129" t="s">
        <v>145</v>
      </c>
      <c r="E57" s="129" t="s">
        <v>198</v>
      </c>
      <c r="F57" s="129">
        <v>11119515</v>
      </c>
      <c r="G57" s="129">
        <v>2</v>
      </c>
      <c r="H57" s="129">
        <v>1405</v>
      </c>
      <c r="I57" s="334">
        <v>43252</v>
      </c>
      <c r="J57" s="335">
        <v>2</v>
      </c>
      <c r="K57" s="336"/>
      <c r="L57" s="337"/>
      <c r="M57" s="333">
        <v>0.04</v>
      </c>
      <c r="N57" s="129">
        <v>0.06</v>
      </c>
      <c r="O57" s="333">
        <f t="shared" si="2"/>
        <v>2.0000399999999998</v>
      </c>
      <c r="P57" s="141">
        <f t="shared" si="5"/>
        <v>2.0000599999999999</v>
      </c>
      <c r="Q57" s="333">
        <f t="shared" si="6"/>
        <v>1.1547005383868162E-2</v>
      </c>
      <c r="R57" s="129">
        <v>0.04</v>
      </c>
      <c r="S57" s="130">
        <f t="shared" ref="S57:S70" si="10">(0.34848*((750.7+754.5)/2)-0.009024*((52.2+58.7)/2)*EXP(0.0612*((20+20.6)/2)))/(273.15+((20+20.6)/2))</f>
        <v>0.88782702273489045</v>
      </c>
      <c r="T57" s="129" t="str">
        <f t="shared" si="9"/>
        <v>M-002</v>
      </c>
      <c r="U57" s="557" t="s">
        <v>197</v>
      </c>
      <c r="V57" s="956"/>
      <c r="AS57" s="66"/>
      <c r="AT57" s="61"/>
      <c r="AU57" s="61"/>
    </row>
    <row r="58" spans="2:48" ht="30" customHeight="1" x14ac:dyDescent="0.2">
      <c r="B58" s="1023"/>
      <c r="C58" s="140" t="s">
        <v>150</v>
      </c>
      <c r="D58" s="129" t="s">
        <v>145</v>
      </c>
      <c r="E58" s="129" t="s">
        <v>198</v>
      </c>
      <c r="F58" s="129">
        <v>11119515</v>
      </c>
      <c r="G58" s="129">
        <v>5</v>
      </c>
      <c r="H58" s="129">
        <v>1405</v>
      </c>
      <c r="I58" s="334">
        <v>43252</v>
      </c>
      <c r="J58" s="129">
        <v>5</v>
      </c>
      <c r="K58" s="336"/>
      <c r="L58" s="337"/>
      <c r="M58" s="333">
        <v>0</v>
      </c>
      <c r="N58" s="132">
        <v>0.01</v>
      </c>
      <c r="O58" s="333">
        <f t="shared" si="2"/>
        <v>5</v>
      </c>
      <c r="P58" s="141">
        <f t="shared" si="5"/>
        <v>5.0000099999999996</v>
      </c>
      <c r="Q58" s="333">
        <f t="shared" si="6"/>
        <v>5.7735026916776863E-3</v>
      </c>
      <c r="R58" s="129">
        <v>0.05</v>
      </c>
      <c r="S58" s="130">
        <f t="shared" si="10"/>
        <v>0.88782702273489045</v>
      </c>
      <c r="T58" s="129" t="str">
        <f t="shared" si="9"/>
        <v>M-002</v>
      </c>
      <c r="U58" s="557" t="s">
        <v>197</v>
      </c>
      <c r="V58" s="956"/>
      <c r="AS58" s="66"/>
      <c r="AT58" s="61"/>
      <c r="AU58" s="61"/>
    </row>
    <row r="59" spans="2:48" ht="30" customHeight="1" x14ac:dyDescent="0.2">
      <c r="B59" s="1023"/>
      <c r="C59" s="140" t="s">
        <v>151</v>
      </c>
      <c r="D59" s="129" t="s">
        <v>145</v>
      </c>
      <c r="E59" s="129" t="s">
        <v>198</v>
      </c>
      <c r="F59" s="129">
        <v>11119515</v>
      </c>
      <c r="G59" s="129">
        <v>10</v>
      </c>
      <c r="H59" s="129">
        <v>1405</v>
      </c>
      <c r="I59" s="334">
        <v>43252</v>
      </c>
      <c r="J59" s="129">
        <v>10</v>
      </c>
      <c r="K59" s="336"/>
      <c r="L59" s="337"/>
      <c r="M59" s="333">
        <v>0.05</v>
      </c>
      <c r="N59" s="129">
        <v>7.0000000000000007E-2</v>
      </c>
      <c r="O59" s="333">
        <f t="shared" si="2"/>
        <v>10.00005</v>
      </c>
      <c r="P59" s="141">
        <f t="shared" si="5"/>
        <v>10.000069999999999</v>
      </c>
      <c r="Q59" s="333">
        <f t="shared" si="6"/>
        <v>1.1547005383355373E-2</v>
      </c>
      <c r="R59" s="129">
        <v>0.06</v>
      </c>
      <c r="S59" s="130">
        <f t="shared" si="10"/>
        <v>0.88782702273489045</v>
      </c>
      <c r="T59" s="129" t="str">
        <f t="shared" si="9"/>
        <v>M-002</v>
      </c>
      <c r="U59" s="557" t="s">
        <v>197</v>
      </c>
      <c r="V59" s="956"/>
      <c r="AS59" s="66"/>
      <c r="AT59" s="61"/>
      <c r="AU59" s="61"/>
    </row>
    <row r="60" spans="2:48" ht="30" customHeight="1" x14ac:dyDescent="0.2">
      <c r="B60" s="1023"/>
      <c r="C60" s="140" t="s">
        <v>153</v>
      </c>
      <c r="D60" s="129" t="s">
        <v>145</v>
      </c>
      <c r="E60" s="129" t="s">
        <v>198</v>
      </c>
      <c r="F60" s="129">
        <v>11119515</v>
      </c>
      <c r="G60" s="129" t="s">
        <v>155</v>
      </c>
      <c r="H60" s="129">
        <v>1405</v>
      </c>
      <c r="I60" s="334">
        <v>43252</v>
      </c>
      <c r="J60" s="129">
        <v>20</v>
      </c>
      <c r="K60" s="336"/>
      <c r="L60" s="337"/>
      <c r="M60" s="333">
        <v>7.0000000000000007E-2</v>
      </c>
      <c r="N60" s="129">
        <v>0.08</v>
      </c>
      <c r="O60" s="333">
        <f t="shared" si="2"/>
        <v>20.000070000000001</v>
      </c>
      <c r="P60" s="141">
        <f t="shared" si="5"/>
        <v>20.000080000000001</v>
      </c>
      <c r="Q60" s="333">
        <f t="shared" si="6"/>
        <v>5.7735026916776863E-3</v>
      </c>
      <c r="R60" s="129">
        <v>0.08</v>
      </c>
      <c r="S60" s="130">
        <f t="shared" si="10"/>
        <v>0.88782702273489045</v>
      </c>
      <c r="T60" s="129" t="str">
        <f t="shared" si="9"/>
        <v>M-002</v>
      </c>
      <c r="U60" s="557" t="s">
        <v>197</v>
      </c>
      <c r="V60" s="956"/>
      <c r="AS60" s="66"/>
      <c r="AT60" s="61"/>
      <c r="AU60" s="61"/>
    </row>
    <row r="61" spans="2:48" ht="30" customHeight="1" x14ac:dyDescent="0.2">
      <c r="B61" s="1023"/>
      <c r="C61" s="140" t="s">
        <v>154</v>
      </c>
      <c r="D61" s="129" t="s">
        <v>145</v>
      </c>
      <c r="E61" s="129" t="s">
        <v>198</v>
      </c>
      <c r="F61" s="129">
        <v>11119515</v>
      </c>
      <c r="G61" s="129">
        <v>20</v>
      </c>
      <c r="H61" s="129">
        <v>1405</v>
      </c>
      <c r="I61" s="334">
        <v>43252</v>
      </c>
      <c r="J61" s="129">
        <v>20</v>
      </c>
      <c r="K61" s="336"/>
      <c r="L61" s="337"/>
      <c r="M61" s="333">
        <v>0.08</v>
      </c>
      <c r="N61" s="129">
        <v>7.0000000000000007E-2</v>
      </c>
      <c r="O61" s="333">
        <f t="shared" si="2"/>
        <v>20.000080000000001</v>
      </c>
      <c r="P61" s="141">
        <f t="shared" si="5"/>
        <v>20.000070000000001</v>
      </c>
      <c r="Q61" s="333">
        <f t="shared" si="6"/>
        <v>-5.7735026916776863E-3</v>
      </c>
      <c r="R61" s="129">
        <v>0.08</v>
      </c>
      <c r="S61" s="130">
        <f t="shared" si="10"/>
        <v>0.88782702273489045</v>
      </c>
      <c r="T61" s="129" t="str">
        <f t="shared" si="9"/>
        <v>M-002</v>
      </c>
      <c r="U61" s="557" t="s">
        <v>197</v>
      </c>
      <c r="V61" s="956"/>
      <c r="AS61" s="66"/>
      <c r="AT61" s="61"/>
      <c r="AU61" s="61"/>
    </row>
    <row r="62" spans="2:48" ht="30" customHeight="1" x14ac:dyDescent="0.2">
      <c r="B62" s="1023"/>
      <c r="C62" s="140" t="s">
        <v>156</v>
      </c>
      <c r="D62" s="129" t="s">
        <v>145</v>
      </c>
      <c r="E62" s="129" t="s">
        <v>198</v>
      </c>
      <c r="F62" s="129">
        <v>11119515</v>
      </c>
      <c r="G62" s="129">
        <v>50</v>
      </c>
      <c r="H62" s="129">
        <v>1405</v>
      </c>
      <c r="I62" s="334">
        <v>43252</v>
      </c>
      <c r="J62" s="129">
        <v>50</v>
      </c>
      <c r="K62" s="336"/>
      <c r="L62" s="337"/>
      <c r="M62" s="333">
        <v>0.19</v>
      </c>
      <c r="N62" s="129">
        <v>0.13</v>
      </c>
      <c r="O62" s="333">
        <f t="shared" si="2"/>
        <v>50.000190000000003</v>
      </c>
      <c r="P62" s="141">
        <f t="shared" si="5"/>
        <v>50.000129999999999</v>
      </c>
      <c r="Q62" s="333">
        <f t="shared" si="6"/>
        <v>-3.4641016154168439E-2</v>
      </c>
      <c r="R62" s="132">
        <v>0.1</v>
      </c>
      <c r="S62" s="130">
        <f t="shared" si="10"/>
        <v>0.88782702273489045</v>
      </c>
      <c r="T62" s="129" t="str">
        <f t="shared" si="9"/>
        <v>M-002</v>
      </c>
      <c r="U62" s="557" t="s">
        <v>197</v>
      </c>
      <c r="V62" s="956"/>
      <c r="AS62" s="66"/>
      <c r="AT62" s="61"/>
      <c r="AU62" s="61"/>
    </row>
    <row r="63" spans="2:48" ht="30" customHeight="1" x14ac:dyDescent="0.2">
      <c r="B63" s="1023"/>
      <c r="C63" s="140" t="s">
        <v>157</v>
      </c>
      <c r="D63" s="129" t="s">
        <v>145</v>
      </c>
      <c r="E63" s="129" t="s">
        <v>198</v>
      </c>
      <c r="F63" s="129">
        <v>11119515</v>
      </c>
      <c r="G63" s="129">
        <v>100</v>
      </c>
      <c r="H63" s="129">
        <v>1405</v>
      </c>
      <c r="I63" s="334">
        <v>43252</v>
      </c>
      <c r="J63" s="129">
        <v>100</v>
      </c>
      <c r="K63" s="336"/>
      <c r="L63" s="337"/>
      <c r="M63" s="333">
        <v>0.13</v>
      </c>
      <c r="N63" s="129">
        <v>0.14000000000000001</v>
      </c>
      <c r="O63" s="333">
        <f t="shared" si="2"/>
        <v>100.00013</v>
      </c>
      <c r="P63" s="141">
        <f t="shared" si="5"/>
        <v>100.00014</v>
      </c>
      <c r="Q63" s="333">
        <f t="shared" si="6"/>
        <v>5.7735026937288467E-3</v>
      </c>
      <c r="R63" s="129">
        <v>0.16</v>
      </c>
      <c r="S63" s="130">
        <f t="shared" si="10"/>
        <v>0.88782702273489045</v>
      </c>
      <c r="T63" s="129" t="str">
        <f t="shared" si="9"/>
        <v>M-002</v>
      </c>
      <c r="U63" s="557" t="s">
        <v>197</v>
      </c>
      <c r="V63" s="956"/>
      <c r="AT63" s="66"/>
      <c r="AU63" s="61"/>
      <c r="AV63" s="61"/>
    </row>
    <row r="64" spans="2:48" ht="30" customHeight="1" x14ac:dyDescent="0.2">
      <c r="B64" s="1023"/>
      <c r="C64" s="140" t="s">
        <v>158</v>
      </c>
      <c r="D64" s="129" t="s">
        <v>145</v>
      </c>
      <c r="E64" s="129" t="s">
        <v>198</v>
      </c>
      <c r="F64" s="129">
        <v>11119515</v>
      </c>
      <c r="G64" s="129" t="s">
        <v>160</v>
      </c>
      <c r="H64" s="129">
        <v>1405</v>
      </c>
      <c r="I64" s="334">
        <v>43252</v>
      </c>
      <c r="J64" s="129">
        <v>200</v>
      </c>
      <c r="K64" s="336"/>
      <c r="L64" s="337"/>
      <c r="M64" s="333">
        <v>0.2</v>
      </c>
      <c r="N64" s="129">
        <v>0.3</v>
      </c>
      <c r="O64" s="333">
        <f t="shared" si="2"/>
        <v>200.00020000000001</v>
      </c>
      <c r="P64" s="130">
        <f t="shared" si="5"/>
        <v>200.00030000000001</v>
      </c>
      <c r="Q64" s="333">
        <f t="shared" si="6"/>
        <v>5.773502692087918E-2</v>
      </c>
      <c r="R64" s="129">
        <v>0.3</v>
      </c>
      <c r="S64" s="130">
        <f t="shared" si="10"/>
        <v>0.88782702273489045</v>
      </c>
      <c r="T64" s="129" t="str">
        <f t="shared" si="9"/>
        <v>M-002</v>
      </c>
      <c r="U64" s="557" t="s">
        <v>197</v>
      </c>
      <c r="V64" s="956"/>
      <c r="AT64" s="66"/>
      <c r="AU64" s="61"/>
      <c r="AV64" s="61"/>
    </row>
    <row r="65" spans="2:50" ht="30" customHeight="1" x14ac:dyDescent="0.2">
      <c r="B65" s="1023"/>
      <c r="C65" s="140" t="s">
        <v>159</v>
      </c>
      <c r="D65" s="129" t="s">
        <v>145</v>
      </c>
      <c r="E65" s="129" t="s">
        <v>198</v>
      </c>
      <c r="F65" s="129">
        <v>11119515</v>
      </c>
      <c r="G65" s="129">
        <v>200</v>
      </c>
      <c r="H65" s="129">
        <v>1405</v>
      </c>
      <c r="I65" s="334">
        <v>43252</v>
      </c>
      <c r="J65" s="129">
        <v>200</v>
      </c>
      <c r="K65" s="336"/>
      <c r="L65" s="337"/>
      <c r="M65" s="333">
        <v>0.3</v>
      </c>
      <c r="N65" s="129">
        <v>0.2</v>
      </c>
      <c r="O65" s="333">
        <f t="shared" si="2"/>
        <v>200.00030000000001</v>
      </c>
      <c r="P65" s="130">
        <f t="shared" si="5"/>
        <v>200.00020000000001</v>
      </c>
      <c r="Q65" s="333">
        <f t="shared" si="6"/>
        <v>-5.773502692087918E-2</v>
      </c>
      <c r="R65" s="129">
        <v>0.3</v>
      </c>
      <c r="S65" s="130">
        <f t="shared" si="10"/>
        <v>0.88782702273489045</v>
      </c>
      <c r="T65" s="129" t="str">
        <f t="shared" si="9"/>
        <v>M-002</v>
      </c>
      <c r="U65" s="557" t="s">
        <v>197</v>
      </c>
      <c r="V65" s="956"/>
      <c r="AT65" s="66"/>
      <c r="AU65" s="61"/>
      <c r="AV65" s="61"/>
    </row>
    <row r="66" spans="2:50" ht="30" customHeight="1" x14ac:dyDescent="0.2">
      <c r="B66" s="1023"/>
      <c r="C66" s="140" t="s">
        <v>161</v>
      </c>
      <c r="D66" s="129" t="s">
        <v>145</v>
      </c>
      <c r="E66" s="129" t="s">
        <v>198</v>
      </c>
      <c r="F66" s="129">
        <v>11119515</v>
      </c>
      <c r="G66" s="129">
        <v>500</v>
      </c>
      <c r="H66" s="129">
        <v>1405</v>
      </c>
      <c r="I66" s="334">
        <v>43252</v>
      </c>
      <c r="J66" s="129">
        <v>500</v>
      </c>
      <c r="K66" s="336"/>
      <c r="L66" s="337"/>
      <c r="M66" s="333">
        <v>0.8</v>
      </c>
      <c r="N66" s="129">
        <v>0.8</v>
      </c>
      <c r="O66" s="333">
        <f t="shared" si="2"/>
        <v>500.00080000000003</v>
      </c>
      <c r="P66" s="130">
        <f t="shared" si="5"/>
        <v>500.00080000000003</v>
      </c>
      <c r="Q66" s="333">
        <f t="shared" si="6"/>
        <v>0</v>
      </c>
      <c r="R66" s="129">
        <v>0.8</v>
      </c>
      <c r="S66" s="130">
        <f t="shared" si="10"/>
        <v>0.88782702273489045</v>
      </c>
      <c r="T66" s="129" t="str">
        <f t="shared" si="9"/>
        <v>M-002</v>
      </c>
      <c r="U66" s="557" t="s">
        <v>197</v>
      </c>
      <c r="V66" s="956"/>
      <c r="AI66" s="76"/>
      <c r="AJ66" s="76"/>
      <c r="AK66" s="76"/>
      <c r="AQ66" s="77"/>
      <c r="AR66" s="77"/>
      <c r="AS66" s="66"/>
      <c r="AT66" s="66"/>
      <c r="AU66" s="61"/>
      <c r="AV66" s="61"/>
    </row>
    <row r="67" spans="2:50" ht="30" customHeight="1" x14ac:dyDescent="0.2">
      <c r="B67" s="1023"/>
      <c r="C67" s="140" t="s">
        <v>162</v>
      </c>
      <c r="D67" s="129" t="s">
        <v>145</v>
      </c>
      <c r="E67" s="129" t="s">
        <v>198</v>
      </c>
      <c r="F67" s="129">
        <v>11119515</v>
      </c>
      <c r="G67" s="129">
        <v>1</v>
      </c>
      <c r="H67" s="129">
        <v>1405</v>
      </c>
      <c r="I67" s="334">
        <v>43252</v>
      </c>
      <c r="J67" s="335">
        <v>1000</v>
      </c>
      <c r="K67" s="336"/>
      <c r="L67" s="336"/>
      <c r="M67" s="333">
        <v>1.9</v>
      </c>
      <c r="N67" s="129">
        <v>1.9</v>
      </c>
      <c r="O67" s="333">
        <f t="shared" si="2"/>
        <v>1000.0019</v>
      </c>
      <c r="P67" s="130">
        <f t="shared" si="5"/>
        <v>1000.0019</v>
      </c>
      <c r="Q67" s="333">
        <f t="shared" si="6"/>
        <v>0</v>
      </c>
      <c r="R67" s="129">
        <v>1.6</v>
      </c>
      <c r="S67" s="130">
        <f t="shared" si="10"/>
        <v>0.88782702273489045</v>
      </c>
      <c r="T67" s="129" t="str">
        <f t="shared" si="9"/>
        <v>M-002</v>
      </c>
      <c r="U67" s="557" t="s">
        <v>197</v>
      </c>
      <c r="V67" s="956"/>
      <c r="AI67" s="78"/>
      <c r="AJ67" s="78"/>
      <c r="AK67" s="78"/>
      <c r="AQ67" s="78"/>
      <c r="AR67" s="78"/>
      <c r="AS67" s="78"/>
      <c r="AT67" s="78"/>
      <c r="AU67" s="78"/>
      <c r="AV67" s="78"/>
      <c r="AW67" s="78"/>
      <c r="AX67" s="78"/>
    </row>
    <row r="68" spans="2:50" ht="30" customHeight="1" x14ac:dyDescent="0.2">
      <c r="B68" s="1023"/>
      <c r="C68" s="140" t="s">
        <v>163</v>
      </c>
      <c r="D68" s="129" t="s">
        <v>145</v>
      </c>
      <c r="E68" s="129" t="s">
        <v>198</v>
      </c>
      <c r="F68" s="129">
        <v>11119515</v>
      </c>
      <c r="G68" s="129" t="s">
        <v>149</v>
      </c>
      <c r="H68" s="129">
        <v>1405</v>
      </c>
      <c r="I68" s="334">
        <v>43252</v>
      </c>
      <c r="J68" s="335">
        <v>2000</v>
      </c>
      <c r="K68" s="336"/>
      <c r="L68" s="336"/>
      <c r="M68" s="333">
        <v>2.2000000000000002</v>
      </c>
      <c r="N68" s="131">
        <v>1.9</v>
      </c>
      <c r="O68" s="333">
        <f t="shared" si="2"/>
        <v>2000.0021999999999</v>
      </c>
      <c r="P68" s="130">
        <f t="shared" si="5"/>
        <v>2000.0019</v>
      </c>
      <c r="Q68" s="333">
        <f t="shared" si="6"/>
        <v>-0.1732050807134097</v>
      </c>
      <c r="R68" s="131">
        <v>3</v>
      </c>
      <c r="S68" s="130">
        <f t="shared" si="10"/>
        <v>0.88782702273489045</v>
      </c>
      <c r="T68" s="129" t="str">
        <f t="shared" si="9"/>
        <v>M-002</v>
      </c>
      <c r="U68" s="557" t="s">
        <v>197</v>
      </c>
      <c r="V68" s="956"/>
      <c r="AE68" s="78"/>
      <c r="AF68" s="78"/>
      <c r="AG68" s="78"/>
      <c r="AH68" s="78"/>
      <c r="AI68" s="78"/>
      <c r="AJ68" s="78"/>
      <c r="AK68" s="78"/>
      <c r="AQ68" s="78"/>
      <c r="AR68" s="78"/>
      <c r="AS68" s="78"/>
      <c r="AT68" s="78"/>
      <c r="AU68" s="78"/>
      <c r="AV68" s="78"/>
      <c r="AW68" s="78"/>
      <c r="AX68" s="78"/>
    </row>
    <row r="69" spans="2:50" ht="30" customHeight="1" x14ac:dyDescent="0.2">
      <c r="B69" s="1023"/>
      <c r="C69" s="140" t="s">
        <v>164</v>
      </c>
      <c r="D69" s="129" t="s">
        <v>145</v>
      </c>
      <c r="E69" s="129" t="s">
        <v>198</v>
      </c>
      <c r="F69" s="129">
        <v>11119515</v>
      </c>
      <c r="G69" s="129">
        <v>2</v>
      </c>
      <c r="H69" s="129">
        <v>1405</v>
      </c>
      <c r="I69" s="334">
        <v>43252</v>
      </c>
      <c r="J69" s="335">
        <v>2000</v>
      </c>
      <c r="K69" s="336"/>
      <c r="L69" s="336"/>
      <c r="M69" s="394">
        <v>2</v>
      </c>
      <c r="N69" s="131">
        <v>2.1</v>
      </c>
      <c r="O69" s="333">
        <f t="shared" si="2"/>
        <v>2000.002</v>
      </c>
      <c r="P69" s="130">
        <f t="shared" si="5"/>
        <v>2000.0020999999999</v>
      </c>
      <c r="Q69" s="333">
        <f t="shared" si="6"/>
        <v>5.7735026904469904E-2</v>
      </c>
      <c r="R69" s="131">
        <v>3</v>
      </c>
      <c r="S69" s="130">
        <f t="shared" si="10"/>
        <v>0.88782702273489045</v>
      </c>
      <c r="T69" s="129" t="str">
        <f t="shared" si="9"/>
        <v>M-002</v>
      </c>
      <c r="U69" s="557" t="s">
        <v>197</v>
      </c>
      <c r="V69" s="956"/>
      <c r="AC69" s="78"/>
      <c r="AD69" s="78"/>
      <c r="AE69" s="78"/>
      <c r="AF69" s="78"/>
      <c r="AG69" s="78"/>
      <c r="AH69" s="78"/>
      <c r="AI69" s="78"/>
      <c r="AJ69" s="78"/>
      <c r="AK69" s="78"/>
      <c r="AQ69" s="78"/>
      <c r="AR69" s="78"/>
      <c r="AS69" s="78"/>
      <c r="AT69" s="78"/>
      <c r="AU69" s="78"/>
      <c r="AV69" s="78"/>
      <c r="AW69" s="78"/>
      <c r="AX69" s="78"/>
    </row>
    <row r="70" spans="2:50" ht="30" customHeight="1" thickBot="1" x14ac:dyDescent="0.25">
      <c r="B70" s="1024"/>
      <c r="C70" s="468" t="s">
        <v>165</v>
      </c>
      <c r="D70" s="465" t="s">
        <v>145</v>
      </c>
      <c r="E70" s="465" t="s">
        <v>198</v>
      </c>
      <c r="F70" s="465">
        <v>11119515</v>
      </c>
      <c r="G70" s="465">
        <v>5</v>
      </c>
      <c r="H70" s="465">
        <v>1405</v>
      </c>
      <c r="I70" s="469">
        <v>43252</v>
      </c>
      <c r="J70" s="466">
        <v>5000</v>
      </c>
      <c r="K70" s="470"/>
      <c r="L70" s="470"/>
      <c r="M70" s="491">
        <v>5.9</v>
      </c>
      <c r="N70" s="465">
        <v>5.8</v>
      </c>
      <c r="O70" s="491">
        <f t="shared" si="2"/>
        <v>5000.0059000000001</v>
      </c>
      <c r="P70" s="467">
        <f t="shared" ref="P70:P88" si="11">J70+(N70)/1000</f>
        <v>5000.0057999999999</v>
      </c>
      <c r="Q70" s="491">
        <f t="shared" ref="Q70:Q88" si="12">(P70-O70)/SQRT(3)*1000</f>
        <v>-5.7735027035744159E-2</v>
      </c>
      <c r="R70" s="472">
        <v>8</v>
      </c>
      <c r="S70" s="467">
        <f t="shared" si="10"/>
        <v>0.88782702273489045</v>
      </c>
      <c r="T70" s="465" t="str">
        <f t="shared" si="9"/>
        <v>M-002</v>
      </c>
      <c r="U70" s="562" t="s">
        <v>197</v>
      </c>
      <c r="V70" s="957"/>
      <c r="AC70" s="78"/>
      <c r="AD70" s="78"/>
      <c r="AE70" s="78"/>
      <c r="AF70" s="78"/>
      <c r="AG70" s="78"/>
      <c r="AH70" s="78"/>
      <c r="AI70" s="78"/>
      <c r="AJ70" s="78"/>
      <c r="AK70" s="78"/>
      <c r="AQ70" s="78"/>
      <c r="AR70" s="78"/>
      <c r="AS70" s="78"/>
      <c r="AT70" s="78"/>
      <c r="AU70" s="78"/>
      <c r="AV70" s="78"/>
      <c r="AW70" s="78"/>
      <c r="AX70" s="78"/>
    </row>
    <row r="71" spans="2:50" ht="30" customHeight="1" thickBot="1" x14ac:dyDescent="0.25">
      <c r="B71" s="148"/>
      <c r="C71" s="493" t="s">
        <v>166</v>
      </c>
      <c r="D71" s="494" t="s">
        <v>145</v>
      </c>
      <c r="E71" s="494" t="s">
        <v>198</v>
      </c>
      <c r="F71" s="494">
        <v>11119467</v>
      </c>
      <c r="G71" s="494">
        <v>10</v>
      </c>
      <c r="H71" s="494">
        <v>1500</v>
      </c>
      <c r="I71" s="495">
        <v>43670</v>
      </c>
      <c r="J71" s="492">
        <v>10000</v>
      </c>
      <c r="K71" s="496"/>
      <c r="L71" s="496"/>
      <c r="M71" s="323">
        <v>7</v>
      </c>
      <c r="N71" s="494">
        <v>7</v>
      </c>
      <c r="O71" s="323">
        <f t="shared" si="2"/>
        <v>10000.007</v>
      </c>
      <c r="P71" s="497">
        <f t="shared" si="11"/>
        <v>10000.007</v>
      </c>
      <c r="Q71" s="323">
        <f t="shared" si="12"/>
        <v>0</v>
      </c>
      <c r="R71" s="494">
        <v>16</v>
      </c>
      <c r="S71" s="498">
        <f>(0.34848*((752.6+754.6)/2)-0.009024*((54.2+56.2)/2)*EXP(0.0612*((20+20.2)/2)))/(273.15+((20+20.2)/2))</f>
        <v>0.88971909362420276</v>
      </c>
      <c r="T71" s="494" t="s">
        <v>167</v>
      </c>
      <c r="U71" s="563" t="s">
        <v>197</v>
      </c>
      <c r="V71" s="697">
        <v>2</v>
      </c>
      <c r="AC71" s="78"/>
      <c r="AD71" s="78"/>
      <c r="AE71" s="78"/>
      <c r="AF71" s="78"/>
      <c r="AG71" s="78"/>
      <c r="AH71" s="78"/>
      <c r="AI71" s="78"/>
      <c r="AJ71" s="78"/>
      <c r="AK71" s="78"/>
      <c r="AQ71" s="78"/>
      <c r="AR71" s="78"/>
      <c r="AS71" s="78"/>
      <c r="AT71" s="78"/>
      <c r="AU71" s="78"/>
      <c r="AV71" s="78"/>
      <c r="AW71" s="78"/>
      <c r="AX71" s="78"/>
    </row>
    <row r="72" spans="2:50" ht="30" customHeight="1" thickBot="1" x14ac:dyDescent="0.25">
      <c r="B72" s="230"/>
      <c r="C72" s="577" t="s">
        <v>168</v>
      </c>
      <c r="D72" s="578" t="s">
        <v>145</v>
      </c>
      <c r="E72" s="578" t="s">
        <v>198</v>
      </c>
      <c r="F72" s="578">
        <v>11119468</v>
      </c>
      <c r="G72" s="578">
        <v>20</v>
      </c>
      <c r="H72" s="578">
        <v>1504</v>
      </c>
      <c r="I72" s="579">
        <v>43682</v>
      </c>
      <c r="J72" s="580">
        <v>20000</v>
      </c>
      <c r="K72" s="581"/>
      <c r="L72" s="581"/>
      <c r="M72" s="399">
        <v>0</v>
      </c>
      <c r="N72" s="578">
        <v>-4</v>
      </c>
      <c r="O72" s="399">
        <f t="shared" si="2"/>
        <v>20000</v>
      </c>
      <c r="P72" s="582">
        <f t="shared" si="11"/>
        <v>19999.995999999999</v>
      </c>
      <c r="Q72" s="399">
        <f t="shared" si="12"/>
        <v>-2.3094010772289901</v>
      </c>
      <c r="R72" s="578">
        <v>30</v>
      </c>
      <c r="S72" s="583">
        <f>(0.34848*((754.3+754.5)/2)-0.009024*((46.7+46.8)/2)*EXP(0.0612*((21.4+21.5)/2)))/(273.15+((21.4+21.5)/2))</f>
        <v>0.88705190473328321</v>
      </c>
      <c r="T72" s="578" t="s">
        <v>169</v>
      </c>
      <c r="U72" s="584" t="s">
        <v>197</v>
      </c>
      <c r="V72" s="698">
        <v>2</v>
      </c>
      <c r="AC72" s="78"/>
      <c r="AD72" s="78"/>
      <c r="AE72" s="78"/>
      <c r="AF72" s="78"/>
      <c r="AG72" s="78"/>
      <c r="AH72" s="78"/>
      <c r="AI72" s="78"/>
      <c r="AJ72" s="78"/>
      <c r="AK72" s="78"/>
      <c r="AQ72" s="78"/>
      <c r="AR72" s="78"/>
      <c r="AS72" s="78"/>
      <c r="AT72" s="78"/>
      <c r="AU72" s="78"/>
      <c r="AV72" s="78"/>
      <c r="AW72" s="78"/>
      <c r="AX72" s="78"/>
    </row>
    <row r="73" spans="2:50" ht="30" customHeight="1" x14ac:dyDescent="0.2">
      <c r="B73" s="1020" t="s">
        <v>347</v>
      </c>
      <c r="C73" s="567" t="s">
        <v>331</v>
      </c>
      <c r="D73" s="568" t="s">
        <v>145</v>
      </c>
      <c r="E73" s="568" t="s">
        <v>170</v>
      </c>
      <c r="F73" s="568" t="s">
        <v>199</v>
      </c>
      <c r="G73" s="568" t="s">
        <v>171</v>
      </c>
      <c r="H73" s="568">
        <v>1392</v>
      </c>
      <c r="I73" s="569">
        <v>43228</v>
      </c>
      <c r="J73" s="568">
        <v>1</v>
      </c>
      <c r="K73" s="570"/>
      <c r="L73" s="570"/>
      <c r="M73" s="571">
        <v>0.04</v>
      </c>
      <c r="N73" s="572">
        <v>0.04</v>
      </c>
      <c r="O73" s="573">
        <f t="shared" si="2"/>
        <v>1.00004</v>
      </c>
      <c r="P73" s="574">
        <f t="shared" si="11"/>
        <v>1.00004</v>
      </c>
      <c r="Q73" s="573">
        <f t="shared" si="12"/>
        <v>0</v>
      </c>
      <c r="R73" s="572">
        <v>3.3000000000000002E-2</v>
      </c>
      <c r="S73" s="575">
        <f>(0.34848*((751.2+755.7)/2)-0.009024*((48.4+57.9)/2)*EXP(0.0612*((19.5+20.7)/2)))/(273.15+((19.5+20.7)/2))</f>
        <v>0.88975669159417592</v>
      </c>
      <c r="T73" s="568" t="s">
        <v>172</v>
      </c>
      <c r="U73" s="576" t="s">
        <v>197</v>
      </c>
      <c r="V73" s="955">
        <v>2</v>
      </c>
      <c r="AC73" s="78"/>
      <c r="AD73" s="78"/>
      <c r="AE73" s="78"/>
      <c r="AF73" s="78"/>
      <c r="AG73" s="78"/>
      <c r="AH73" s="78"/>
      <c r="AI73" s="78"/>
      <c r="AJ73" s="78"/>
      <c r="AK73" s="78"/>
      <c r="AL73" s="78"/>
      <c r="AM73" s="78"/>
      <c r="AN73" s="78"/>
      <c r="AO73" s="78"/>
      <c r="AP73" s="78"/>
      <c r="AQ73" s="78"/>
      <c r="AR73" s="78"/>
      <c r="AS73" s="78"/>
      <c r="AT73" s="78"/>
      <c r="AU73" s="78"/>
      <c r="AV73" s="78"/>
      <c r="AW73" s="78"/>
      <c r="AX73" s="78"/>
    </row>
    <row r="74" spans="2:50" ht="30" customHeight="1" x14ac:dyDescent="0.2">
      <c r="B74" s="1021"/>
      <c r="C74" s="140" t="s">
        <v>332</v>
      </c>
      <c r="D74" s="129" t="s">
        <v>145</v>
      </c>
      <c r="E74" s="129" t="s">
        <v>170</v>
      </c>
      <c r="F74" s="129" t="s">
        <v>199</v>
      </c>
      <c r="G74" s="129" t="s">
        <v>171</v>
      </c>
      <c r="H74" s="129">
        <v>1392</v>
      </c>
      <c r="I74" s="334">
        <v>43228</v>
      </c>
      <c r="J74" s="129">
        <v>2</v>
      </c>
      <c r="K74" s="336"/>
      <c r="L74" s="336"/>
      <c r="M74" s="486">
        <v>0.04</v>
      </c>
      <c r="N74" s="132">
        <v>0.04</v>
      </c>
      <c r="O74" s="333">
        <f t="shared" si="2"/>
        <v>2.0000399999999998</v>
      </c>
      <c r="P74" s="141">
        <f t="shared" si="11"/>
        <v>2.0000399999999998</v>
      </c>
      <c r="Q74" s="333">
        <f t="shared" si="12"/>
        <v>0</v>
      </c>
      <c r="R74" s="132">
        <v>0.04</v>
      </c>
      <c r="S74" s="130">
        <f t="shared" ref="S74:S88" si="13">(0.34848*((751.2+755.7)/2)-0.009024*((48.4+57.9)/2)*EXP(0.0612*((19.5+20.7)/2)))/(273.15+((19.5+20.7)/2))</f>
        <v>0.88975669159417592</v>
      </c>
      <c r="T74" s="129" t="str">
        <f t="shared" ref="T74:T88" si="14">T73</f>
        <v>M-016</v>
      </c>
      <c r="U74" s="557" t="s">
        <v>197</v>
      </c>
      <c r="V74" s="956"/>
      <c r="AC74" s="78"/>
      <c r="AD74" s="78"/>
      <c r="AE74" s="78"/>
      <c r="AF74" s="78"/>
      <c r="AG74" s="78"/>
      <c r="AH74" s="78"/>
      <c r="AI74" s="78"/>
      <c r="AJ74" s="78"/>
      <c r="AK74" s="78"/>
      <c r="AL74" s="78"/>
      <c r="AM74" s="78"/>
      <c r="AN74" s="78"/>
      <c r="AO74" s="78"/>
      <c r="AP74" s="78"/>
      <c r="AQ74" s="78"/>
      <c r="AR74" s="78"/>
      <c r="AS74" s="78"/>
      <c r="AT74" s="78"/>
      <c r="AU74" s="78"/>
      <c r="AV74" s="78"/>
      <c r="AW74" s="78"/>
      <c r="AX74" s="78"/>
    </row>
    <row r="75" spans="2:50" ht="30" customHeight="1" x14ac:dyDescent="0.2">
      <c r="B75" s="1021"/>
      <c r="C75" s="140" t="s">
        <v>333</v>
      </c>
      <c r="D75" s="129" t="s">
        <v>145</v>
      </c>
      <c r="E75" s="129" t="s">
        <v>170</v>
      </c>
      <c r="F75" s="129" t="s">
        <v>199</v>
      </c>
      <c r="G75" s="129" t="s">
        <v>173</v>
      </c>
      <c r="H75" s="129">
        <v>1392</v>
      </c>
      <c r="I75" s="334">
        <v>43228</v>
      </c>
      <c r="J75" s="129">
        <v>2</v>
      </c>
      <c r="K75" s="336"/>
      <c r="L75" s="336"/>
      <c r="M75" s="486">
        <v>5.3999999999999999E-2</v>
      </c>
      <c r="N75" s="129">
        <v>0.05</v>
      </c>
      <c r="O75" s="333">
        <f t="shared" si="2"/>
        <v>2.000054</v>
      </c>
      <c r="P75" s="145">
        <f t="shared" si="11"/>
        <v>2.0000499999999999</v>
      </c>
      <c r="Q75" s="333">
        <f t="shared" si="12"/>
        <v>-2.3094010768249114E-3</v>
      </c>
      <c r="R75" s="132">
        <v>0.04</v>
      </c>
      <c r="S75" s="130">
        <f t="shared" si="13"/>
        <v>0.88975669159417592</v>
      </c>
      <c r="T75" s="129" t="str">
        <f t="shared" si="14"/>
        <v>M-016</v>
      </c>
      <c r="U75" s="557" t="s">
        <v>197</v>
      </c>
      <c r="V75" s="956"/>
      <c r="AC75" s="78"/>
      <c r="AD75" s="78"/>
      <c r="AE75" s="78"/>
      <c r="AF75" s="78"/>
      <c r="AG75" s="78"/>
      <c r="AH75" s="78"/>
      <c r="AI75" s="78"/>
      <c r="AJ75" s="78"/>
      <c r="AK75" s="78"/>
      <c r="AL75" s="78"/>
      <c r="AM75" s="78"/>
      <c r="AN75" s="78"/>
      <c r="AO75" s="78"/>
      <c r="AP75" s="78"/>
      <c r="AQ75" s="78"/>
      <c r="AR75" s="78"/>
      <c r="AS75" s="78"/>
      <c r="AT75" s="78"/>
      <c r="AU75" s="78"/>
      <c r="AV75" s="78"/>
      <c r="AW75" s="78"/>
      <c r="AX75" s="78"/>
    </row>
    <row r="76" spans="2:50" ht="30" customHeight="1" x14ac:dyDescent="0.2">
      <c r="B76" s="1021"/>
      <c r="C76" s="140" t="s">
        <v>334</v>
      </c>
      <c r="D76" s="129" t="s">
        <v>145</v>
      </c>
      <c r="E76" s="129" t="s">
        <v>170</v>
      </c>
      <c r="F76" s="129" t="s">
        <v>199</v>
      </c>
      <c r="G76" s="129" t="s">
        <v>171</v>
      </c>
      <c r="H76" s="129">
        <v>1392</v>
      </c>
      <c r="I76" s="334">
        <v>43228</v>
      </c>
      <c r="J76" s="129">
        <v>5</v>
      </c>
      <c r="K76" s="336"/>
      <c r="L76" s="336"/>
      <c r="M76" s="333">
        <v>8.7999999999999995E-2</v>
      </c>
      <c r="N76" s="129">
        <v>7.0000000000000007E-2</v>
      </c>
      <c r="O76" s="333">
        <f t="shared" si="2"/>
        <v>5.0000879999999999</v>
      </c>
      <c r="P76" s="145">
        <f t="shared" si="11"/>
        <v>5.00007</v>
      </c>
      <c r="Q76" s="333">
        <f t="shared" si="12"/>
        <v>-1.0392304845327509E-2</v>
      </c>
      <c r="R76" s="132">
        <v>5.2999999999999999E-2</v>
      </c>
      <c r="S76" s="130">
        <f t="shared" si="13"/>
        <v>0.88975669159417592</v>
      </c>
      <c r="T76" s="129" t="str">
        <f t="shared" si="14"/>
        <v>M-016</v>
      </c>
      <c r="U76" s="557" t="s">
        <v>197</v>
      </c>
      <c r="V76" s="956"/>
      <c r="AC76" s="78"/>
      <c r="AD76" s="78"/>
      <c r="AE76" s="78"/>
      <c r="AF76" s="78"/>
      <c r="AG76" s="78"/>
      <c r="AH76" s="78"/>
      <c r="AI76" s="78"/>
      <c r="AJ76" s="78"/>
      <c r="AK76" s="78"/>
      <c r="AL76" s="78"/>
      <c r="AM76" s="78"/>
      <c r="AN76" s="78"/>
      <c r="AO76" s="78"/>
      <c r="AP76" s="78"/>
      <c r="AQ76" s="78"/>
      <c r="AR76" s="78"/>
      <c r="AS76" s="78"/>
      <c r="AT76" s="78"/>
      <c r="AU76" s="78"/>
      <c r="AV76" s="78"/>
      <c r="AW76" s="78"/>
      <c r="AX76" s="78"/>
    </row>
    <row r="77" spans="2:50" ht="30" customHeight="1" x14ac:dyDescent="0.2">
      <c r="B77" s="1021"/>
      <c r="C77" s="140" t="s">
        <v>335</v>
      </c>
      <c r="D77" s="129" t="s">
        <v>145</v>
      </c>
      <c r="E77" s="129" t="s">
        <v>170</v>
      </c>
      <c r="F77" s="129" t="s">
        <v>199</v>
      </c>
      <c r="G77" s="129" t="s">
        <v>171</v>
      </c>
      <c r="H77" s="129">
        <v>1392</v>
      </c>
      <c r="I77" s="334">
        <v>43228</v>
      </c>
      <c r="J77" s="129">
        <v>10</v>
      </c>
      <c r="K77" s="336"/>
      <c r="L77" s="336"/>
      <c r="M77" s="333">
        <v>8.7999999999999995E-2</v>
      </c>
      <c r="N77" s="129">
        <v>0.09</v>
      </c>
      <c r="O77" s="333">
        <f t="shared" si="2"/>
        <v>10.000088</v>
      </c>
      <c r="P77" s="145">
        <f t="shared" si="11"/>
        <v>10.00009</v>
      </c>
      <c r="Q77" s="333">
        <f t="shared" si="12"/>
        <v>1.1547005385406533E-3</v>
      </c>
      <c r="R77" s="132">
        <v>0.06</v>
      </c>
      <c r="S77" s="130">
        <f t="shared" si="13"/>
        <v>0.88975669159417592</v>
      </c>
      <c r="T77" s="129" t="str">
        <f t="shared" si="14"/>
        <v>M-016</v>
      </c>
      <c r="U77" s="557" t="s">
        <v>197</v>
      </c>
      <c r="V77" s="956"/>
      <c r="AC77" s="78"/>
      <c r="AD77" s="78"/>
      <c r="AE77" s="78"/>
      <c r="AF77" s="78"/>
      <c r="AG77" s="78"/>
      <c r="AH77" s="78"/>
      <c r="AI77" s="78"/>
      <c r="AJ77" s="78"/>
      <c r="AK77" s="78"/>
      <c r="AL77" s="78"/>
      <c r="AM77" s="78"/>
      <c r="AN77" s="78"/>
      <c r="AO77" s="78"/>
      <c r="AP77" s="78"/>
      <c r="AQ77" s="78"/>
      <c r="AR77" s="78"/>
      <c r="AS77" s="78"/>
      <c r="AT77" s="78"/>
      <c r="AU77" s="78"/>
      <c r="AV77" s="78"/>
      <c r="AW77" s="78"/>
      <c r="AX77" s="78"/>
    </row>
    <row r="78" spans="2:50" ht="30" customHeight="1" x14ac:dyDescent="0.2">
      <c r="B78" s="1021"/>
      <c r="C78" s="140" t="s">
        <v>336</v>
      </c>
      <c r="D78" s="129" t="s">
        <v>145</v>
      </c>
      <c r="E78" s="129" t="s">
        <v>170</v>
      </c>
      <c r="F78" s="129" t="s">
        <v>199</v>
      </c>
      <c r="G78" s="129" t="s">
        <v>171</v>
      </c>
      <c r="H78" s="129">
        <v>1392</v>
      </c>
      <c r="I78" s="334">
        <v>43228</v>
      </c>
      <c r="J78" s="129">
        <v>20</v>
      </c>
      <c r="K78" s="336"/>
      <c r="L78" s="336"/>
      <c r="M78" s="333">
        <v>9.2999999999999999E-2</v>
      </c>
      <c r="N78" s="129">
        <v>0.11</v>
      </c>
      <c r="O78" s="333">
        <f t="shared" si="2"/>
        <v>20.000093</v>
      </c>
      <c r="P78" s="145">
        <f t="shared" si="11"/>
        <v>20.000109999999999</v>
      </c>
      <c r="Q78" s="333">
        <f t="shared" si="12"/>
        <v>9.8149545760571836E-3</v>
      </c>
      <c r="R78" s="132">
        <v>8.3000000000000004E-2</v>
      </c>
      <c r="S78" s="130">
        <f t="shared" si="13"/>
        <v>0.88975669159417592</v>
      </c>
      <c r="T78" s="129" t="str">
        <f t="shared" si="14"/>
        <v>M-016</v>
      </c>
      <c r="U78" s="557" t="s">
        <v>197</v>
      </c>
      <c r="V78" s="956"/>
      <c r="AC78" s="78"/>
      <c r="AD78" s="78"/>
      <c r="AE78" s="78"/>
      <c r="AF78" s="78"/>
      <c r="AG78" s="78"/>
      <c r="AH78" s="78"/>
      <c r="AI78" s="78"/>
      <c r="AJ78" s="78"/>
      <c r="AK78" s="78"/>
      <c r="AL78" s="78"/>
      <c r="AM78" s="78"/>
      <c r="AN78" s="78"/>
      <c r="AO78" s="78"/>
      <c r="AP78" s="78"/>
      <c r="AQ78" s="78"/>
      <c r="AR78" s="78"/>
      <c r="AS78" s="78"/>
      <c r="AT78" s="78"/>
      <c r="AU78" s="78"/>
      <c r="AV78" s="78"/>
      <c r="AW78" s="78"/>
      <c r="AX78" s="78"/>
    </row>
    <row r="79" spans="2:50" ht="30" customHeight="1" x14ac:dyDescent="0.2">
      <c r="B79" s="1021"/>
      <c r="C79" s="140" t="s">
        <v>337</v>
      </c>
      <c r="D79" s="129" t="s">
        <v>145</v>
      </c>
      <c r="E79" s="129" t="s">
        <v>170</v>
      </c>
      <c r="F79" s="129" t="s">
        <v>199</v>
      </c>
      <c r="G79" s="129" t="s">
        <v>173</v>
      </c>
      <c r="H79" s="129">
        <v>1392</v>
      </c>
      <c r="I79" s="334">
        <v>43228</v>
      </c>
      <c r="J79" s="129">
        <v>20</v>
      </c>
      <c r="K79" s="336"/>
      <c r="L79" s="336"/>
      <c r="M79" s="333">
        <v>9.0999999999999998E-2</v>
      </c>
      <c r="N79" s="132">
        <v>0.1</v>
      </c>
      <c r="O79" s="333">
        <f t="shared" si="2"/>
        <v>20.000091000000001</v>
      </c>
      <c r="P79" s="145">
        <f t="shared" si="11"/>
        <v>20.0001</v>
      </c>
      <c r="Q79" s="333">
        <f t="shared" si="12"/>
        <v>5.1961524218945695E-3</v>
      </c>
      <c r="R79" s="132">
        <v>8.3000000000000004E-2</v>
      </c>
      <c r="S79" s="130">
        <f t="shared" si="13"/>
        <v>0.88975669159417592</v>
      </c>
      <c r="T79" s="129" t="str">
        <f t="shared" si="14"/>
        <v>M-016</v>
      </c>
      <c r="U79" s="557" t="s">
        <v>197</v>
      </c>
      <c r="V79" s="956"/>
      <c r="AC79" s="78"/>
      <c r="AD79" s="78"/>
      <c r="AE79" s="78"/>
      <c r="AF79" s="78"/>
      <c r="AG79" s="78"/>
      <c r="AH79" s="78"/>
      <c r="AI79" s="78"/>
      <c r="AJ79" s="78"/>
      <c r="AK79" s="78"/>
      <c r="AL79" s="78"/>
      <c r="AM79" s="78"/>
      <c r="AN79" s="78"/>
      <c r="AO79" s="78"/>
      <c r="AP79" s="78"/>
      <c r="AQ79" s="78"/>
      <c r="AR79" s="78"/>
      <c r="AS79" s="78"/>
      <c r="AT79" s="78"/>
      <c r="AU79" s="78"/>
      <c r="AV79" s="78"/>
      <c r="AW79" s="78"/>
      <c r="AX79" s="78"/>
    </row>
    <row r="80" spans="2:50" ht="30" customHeight="1" x14ac:dyDescent="0.2">
      <c r="B80" s="1021"/>
      <c r="C80" s="140" t="s">
        <v>338</v>
      </c>
      <c r="D80" s="129" t="s">
        <v>145</v>
      </c>
      <c r="E80" s="129" t="s">
        <v>170</v>
      </c>
      <c r="F80" s="129" t="s">
        <v>199</v>
      </c>
      <c r="G80" s="129" t="s">
        <v>171</v>
      </c>
      <c r="H80" s="129">
        <v>1392</v>
      </c>
      <c r="I80" s="334">
        <v>43228</v>
      </c>
      <c r="J80" s="129">
        <v>50</v>
      </c>
      <c r="K80" s="336"/>
      <c r="L80" s="336"/>
      <c r="M80" s="333">
        <v>0.08</v>
      </c>
      <c r="N80" s="132">
        <v>0.1</v>
      </c>
      <c r="O80" s="333">
        <f t="shared" si="2"/>
        <v>50.000079999999997</v>
      </c>
      <c r="P80" s="141">
        <f t="shared" si="11"/>
        <v>50.000100000000003</v>
      </c>
      <c r="Q80" s="333">
        <f t="shared" si="12"/>
        <v>1.1547005387457693E-2</v>
      </c>
      <c r="R80" s="132">
        <v>0.1</v>
      </c>
      <c r="S80" s="130">
        <f t="shared" si="13"/>
        <v>0.88975669159417592</v>
      </c>
      <c r="T80" s="129" t="str">
        <f t="shared" si="14"/>
        <v>M-016</v>
      </c>
      <c r="U80" s="557" t="s">
        <v>197</v>
      </c>
      <c r="V80" s="956"/>
      <c r="AC80" s="78"/>
      <c r="AD80" s="78"/>
      <c r="AE80" s="78"/>
      <c r="AF80" s="78"/>
      <c r="AG80" s="78"/>
      <c r="AH80" s="78"/>
      <c r="AI80" s="78"/>
      <c r="AJ80" s="78"/>
      <c r="AK80" s="78"/>
      <c r="AL80" s="78"/>
      <c r="AM80" s="78"/>
      <c r="AN80" s="78"/>
      <c r="AO80" s="78"/>
      <c r="AP80" s="78"/>
      <c r="AQ80" s="78"/>
      <c r="AR80" s="78"/>
      <c r="AS80" s="78"/>
      <c r="AT80" s="78"/>
      <c r="AU80" s="78"/>
      <c r="AV80" s="78"/>
      <c r="AW80" s="78"/>
      <c r="AX80" s="78"/>
    </row>
    <row r="81" spans="2:50" ht="30" customHeight="1" x14ac:dyDescent="0.2">
      <c r="B81" s="1021"/>
      <c r="C81" s="140" t="s">
        <v>339</v>
      </c>
      <c r="D81" s="129" t="s">
        <v>145</v>
      </c>
      <c r="E81" s="129" t="s">
        <v>170</v>
      </c>
      <c r="F81" s="129" t="s">
        <v>199</v>
      </c>
      <c r="G81" s="129" t="s">
        <v>171</v>
      </c>
      <c r="H81" s="129">
        <v>1392</v>
      </c>
      <c r="I81" s="334">
        <v>43228</v>
      </c>
      <c r="J81" s="129">
        <v>100</v>
      </c>
      <c r="K81" s="336"/>
      <c r="L81" s="336"/>
      <c r="M81" s="333">
        <v>0.08</v>
      </c>
      <c r="N81" s="129">
        <v>0.12</v>
      </c>
      <c r="O81" s="333">
        <f t="shared" si="2"/>
        <v>100.00008</v>
      </c>
      <c r="P81" s="141">
        <f t="shared" si="11"/>
        <v>100.00012</v>
      </c>
      <c r="Q81" s="333">
        <f t="shared" si="12"/>
        <v>2.3094010766710745E-2</v>
      </c>
      <c r="R81" s="129">
        <v>0.16</v>
      </c>
      <c r="S81" s="130">
        <f t="shared" si="13"/>
        <v>0.88975669159417592</v>
      </c>
      <c r="T81" s="129" t="str">
        <f t="shared" si="14"/>
        <v>M-016</v>
      </c>
      <c r="U81" s="557" t="s">
        <v>197</v>
      </c>
      <c r="V81" s="956"/>
      <c r="AC81" s="78"/>
      <c r="AD81" s="78"/>
      <c r="AE81" s="78"/>
      <c r="AF81" s="78"/>
      <c r="AG81" s="78"/>
      <c r="AH81" s="78"/>
      <c r="AI81" s="78"/>
      <c r="AJ81" s="78"/>
      <c r="AK81" s="78"/>
      <c r="AV81" s="78"/>
      <c r="AW81" s="78"/>
      <c r="AX81" s="78"/>
    </row>
    <row r="82" spans="2:50" ht="30" customHeight="1" x14ac:dyDescent="0.2">
      <c r="B82" s="1021"/>
      <c r="C82" s="140" t="s">
        <v>340</v>
      </c>
      <c r="D82" s="129" t="s">
        <v>145</v>
      </c>
      <c r="E82" s="129" t="s">
        <v>170</v>
      </c>
      <c r="F82" s="129" t="s">
        <v>199</v>
      </c>
      <c r="G82" s="129" t="s">
        <v>171</v>
      </c>
      <c r="H82" s="129">
        <v>1392</v>
      </c>
      <c r="I82" s="334">
        <v>43228</v>
      </c>
      <c r="J82" s="129">
        <v>200</v>
      </c>
      <c r="K82" s="336"/>
      <c r="L82" s="336"/>
      <c r="M82" s="333">
        <v>0.28999999999999998</v>
      </c>
      <c r="N82" s="129">
        <v>0.3</v>
      </c>
      <c r="O82" s="333">
        <f t="shared" si="2"/>
        <v>200.00029000000001</v>
      </c>
      <c r="P82" s="141">
        <f t="shared" si="11"/>
        <v>200.00030000000001</v>
      </c>
      <c r="Q82" s="333">
        <f t="shared" si="12"/>
        <v>5.7735026937288467E-3</v>
      </c>
      <c r="R82" s="131">
        <v>0.33</v>
      </c>
      <c r="S82" s="130">
        <f t="shared" si="13"/>
        <v>0.88975669159417592</v>
      </c>
      <c r="T82" s="129" t="str">
        <f t="shared" si="14"/>
        <v>M-016</v>
      </c>
      <c r="U82" s="557" t="s">
        <v>197</v>
      </c>
      <c r="V82" s="956"/>
      <c r="AC82" s="78"/>
      <c r="AD82" s="78"/>
      <c r="AE82" s="78"/>
      <c r="AF82" s="78"/>
      <c r="AG82" s="78"/>
      <c r="AH82" s="78"/>
      <c r="AI82" s="78"/>
      <c r="AJ82" s="78"/>
      <c r="AK82" s="78"/>
      <c r="AV82" s="78"/>
      <c r="AW82" s="78"/>
      <c r="AX82" s="78"/>
    </row>
    <row r="83" spans="2:50" ht="30" customHeight="1" x14ac:dyDescent="0.2">
      <c r="B83" s="1021"/>
      <c r="C83" s="140" t="s">
        <v>341</v>
      </c>
      <c r="D83" s="129" t="s">
        <v>145</v>
      </c>
      <c r="E83" s="129" t="s">
        <v>170</v>
      </c>
      <c r="F83" s="129" t="s">
        <v>199</v>
      </c>
      <c r="G83" s="129" t="s">
        <v>173</v>
      </c>
      <c r="H83" s="129">
        <v>1392</v>
      </c>
      <c r="I83" s="334">
        <v>43228</v>
      </c>
      <c r="J83" s="129">
        <v>200</v>
      </c>
      <c r="K83" s="336"/>
      <c r="L83" s="336"/>
      <c r="M83" s="333">
        <v>0.33</v>
      </c>
      <c r="N83" s="129">
        <v>0.4</v>
      </c>
      <c r="O83" s="333">
        <f t="shared" si="2"/>
        <v>200.00032999999999</v>
      </c>
      <c r="P83" s="141">
        <f t="shared" si="11"/>
        <v>200.00040000000001</v>
      </c>
      <c r="Q83" s="333">
        <f t="shared" si="12"/>
        <v>4.0414518856101929E-2</v>
      </c>
      <c r="R83" s="131">
        <v>0.33</v>
      </c>
      <c r="S83" s="130">
        <f t="shared" si="13"/>
        <v>0.88975669159417592</v>
      </c>
      <c r="T83" s="129" t="str">
        <f t="shared" si="14"/>
        <v>M-016</v>
      </c>
      <c r="U83" s="557" t="s">
        <v>197</v>
      </c>
      <c r="V83" s="956"/>
      <c r="AC83" s="78"/>
      <c r="AD83" s="78"/>
      <c r="AE83" s="78"/>
      <c r="AF83" s="78"/>
      <c r="AG83" s="78"/>
      <c r="AH83" s="78"/>
      <c r="AI83" s="78"/>
      <c r="AJ83" s="78"/>
      <c r="AK83" s="78"/>
      <c r="AV83" s="78"/>
      <c r="AW83" s="78"/>
      <c r="AX83" s="78"/>
    </row>
    <row r="84" spans="2:50" ht="30" customHeight="1" x14ac:dyDescent="0.2">
      <c r="B84" s="1021"/>
      <c r="C84" s="140" t="s">
        <v>342</v>
      </c>
      <c r="D84" s="129" t="s">
        <v>145</v>
      </c>
      <c r="E84" s="129" t="s">
        <v>170</v>
      </c>
      <c r="F84" s="129" t="s">
        <v>199</v>
      </c>
      <c r="G84" s="129" t="s">
        <v>171</v>
      </c>
      <c r="H84" s="129">
        <v>1392</v>
      </c>
      <c r="I84" s="334">
        <v>43228</v>
      </c>
      <c r="J84" s="129">
        <v>500</v>
      </c>
      <c r="K84" s="336"/>
      <c r="L84" s="336"/>
      <c r="M84" s="333">
        <v>0.94</v>
      </c>
      <c r="N84" s="129">
        <v>0.9</v>
      </c>
      <c r="O84" s="333">
        <f t="shared" si="2"/>
        <v>500.00094000000001</v>
      </c>
      <c r="P84" s="141">
        <f t="shared" si="11"/>
        <v>500.0009</v>
      </c>
      <c r="Q84" s="333">
        <f t="shared" si="12"/>
        <v>-2.3094010774915387E-2</v>
      </c>
      <c r="R84" s="131">
        <v>0.83</v>
      </c>
      <c r="S84" s="130">
        <f t="shared" si="13"/>
        <v>0.88975669159417592</v>
      </c>
      <c r="T84" s="129" t="str">
        <f t="shared" si="14"/>
        <v>M-016</v>
      </c>
      <c r="U84" s="557" t="s">
        <v>197</v>
      </c>
      <c r="V84" s="956"/>
      <c r="AC84" s="78"/>
      <c r="AD84" s="78"/>
      <c r="AE84" s="78"/>
      <c r="AF84" s="78"/>
      <c r="AG84" s="78"/>
      <c r="AH84" s="78"/>
      <c r="AI84" s="78"/>
      <c r="AJ84" s="78"/>
      <c r="AK84" s="78"/>
      <c r="AV84" s="78"/>
      <c r="AW84" s="78"/>
      <c r="AX84" s="78"/>
    </row>
    <row r="85" spans="2:50" ht="30" customHeight="1" x14ac:dyDescent="0.2">
      <c r="B85" s="1021"/>
      <c r="C85" s="140" t="s">
        <v>343</v>
      </c>
      <c r="D85" s="129" t="s">
        <v>145</v>
      </c>
      <c r="E85" s="129" t="s">
        <v>170</v>
      </c>
      <c r="F85" s="129" t="s">
        <v>199</v>
      </c>
      <c r="G85" s="129" t="s">
        <v>171</v>
      </c>
      <c r="H85" s="129">
        <v>1392</v>
      </c>
      <c r="I85" s="334">
        <v>43228</v>
      </c>
      <c r="J85" s="335">
        <v>1000</v>
      </c>
      <c r="K85" s="336"/>
      <c r="L85" s="336"/>
      <c r="M85" s="394">
        <v>0</v>
      </c>
      <c r="N85" s="131">
        <v>-0.5</v>
      </c>
      <c r="O85" s="333">
        <f t="shared" si="2"/>
        <v>1000</v>
      </c>
      <c r="P85" s="130">
        <f t="shared" si="11"/>
        <v>999.99950000000001</v>
      </c>
      <c r="Q85" s="333">
        <f t="shared" si="12"/>
        <v>-0.28867513458798666</v>
      </c>
      <c r="R85" s="129">
        <v>1.6</v>
      </c>
      <c r="S85" s="130">
        <f t="shared" si="13"/>
        <v>0.88975669159417592</v>
      </c>
      <c r="T85" s="129" t="str">
        <f t="shared" si="14"/>
        <v>M-016</v>
      </c>
      <c r="U85" s="557" t="s">
        <v>197</v>
      </c>
      <c r="V85" s="956"/>
      <c r="AC85" s="78"/>
      <c r="AD85" s="78"/>
      <c r="AE85" s="78"/>
      <c r="AF85" s="78"/>
      <c r="AG85" s="78"/>
      <c r="AH85" s="78"/>
      <c r="AI85" s="78"/>
      <c r="AJ85" s="78"/>
      <c r="AK85" s="78"/>
      <c r="AV85" s="78"/>
      <c r="AW85" s="78"/>
      <c r="AX85" s="78"/>
    </row>
    <row r="86" spans="2:50" ht="30" customHeight="1" x14ac:dyDescent="0.2">
      <c r="B86" s="1021"/>
      <c r="C86" s="140" t="s">
        <v>344</v>
      </c>
      <c r="D86" s="129" t="s">
        <v>145</v>
      </c>
      <c r="E86" s="129" t="s">
        <v>170</v>
      </c>
      <c r="F86" s="129" t="s">
        <v>199</v>
      </c>
      <c r="G86" s="129" t="s">
        <v>171</v>
      </c>
      <c r="H86" s="129">
        <v>1392</v>
      </c>
      <c r="I86" s="334">
        <v>43228</v>
      </c>
      <c r="J86" s="335">
        <v>2000</v>
      </c>
      <c r="K86" s="336"/>
      <c r="L86" s="336"/>
      <c r="M86" s="394">
        <v>3</v>
      </c>
      <c r="N86" s="131">
        <v>3.1</v>
      </c>
      <c r="O86" s="333">
        <f t="shared" si="2"/>
        <v>2000.0029999999999</v>
      </c>
      <c r="P86" s="130">
        <f t="shared" si="11"/>
        <v>2000.0030999999999</v>
      </c>
      <c r="Q86" s="333">
        <f t="shared" si="12"/>
        <v>5.7735026904469904E-2</v>
      </c>
      <c r="R86" s="131">
        <v>3</v>
      </c>
      <c r="S86" s="130">
        <f t="shared" si="13"/>
        <v>0.88975669159417592</v>
      </c>
      <c r="T86" s="129" t="str">
        <f t="shared" si="14"/>
        <v>M-016</v>
      </c>
      <c r="U86" s="557" t="s">
        <v>197</v>
      </c>
      <c r="V86" s="956"/>
      <c r="AC86" s="78"/>
      <c r="AD86" s="78"/>
      <c r="AE86" s="78"/>
      <c r="AF86" s="78"/>
      <c r="AG86" s="78"/>
      <c r="AH86" s="78"/>
      <c r="AI86" s="78"/>
      <c r="AJ86" s="78"/>
      <c r="AK86" s="78"/>
      <c r="AV86" s="78"/>
      <c r="AW86" s="78"/>
      <c r="AX86" s="78"/>
    </row>
    <row r="87" spans="2:50" ht="30" customHeight="1" x14ac:dyDescent="0.2">
      <c r="B87" s="1021"/>
      <c r="C87" s="140" t="s">
        <v>345</v>
      </c>
      <c r="D87" s="129" t="s">
        <v>145</v>
      </c>
      <c r="E87" s="129" t="s">
        <v>170</v>
      </c>
      <c r="F87" s="129" t="s">
        <v>199</v>
      </c>
      <c r="G87" s="129" t="s">
        <v>173</v>
      </c>
      <c r="H87" s="129">
        <v>1392</v>
      </c>
      <c r="I87" s="334">
        <v>43228</v>
      </c>
      <c r="J87" s="335">
        <v>2000</v>
      </c>
      <c r="K87" s="336"/>
      <c r="L87" s="336"/>
      <c r="M87" s="333">
        <v>3.9</v>
      </c>
      <c r="N87" s="129">
        <v>3.2</v>
      </c>
      <c r="O87" s="333">
        <f t="shared" si="2"/>
        <v>2000.0038999999999</v>
      </c>
      <c r="P87" s="130">
        <f t="shared" si="11"/>
        <v>2000.0032000000001</v>
      </c>
      <c r="Q87" s="333">
        <f t="shared" si="12"/>
        <v>-0.40414518833128932</v>
      </c>
      <c r="R87" s="131">
        <v>3</v>
      </c>
      <c r="S87" s="130">
        <f t="shared" si="13"/>
        <v>0.88975669159417592</v>
      </c>
      <c r="T87" s="129" t="str">
        <f t="shared" si="14"/>
        <v>M-016</v>
      </c>
      <c r="U87" s="557" t="s">
        <v>197</v>
      </c>
      <c r="V87" s="956"/>
      <c r="AC87" s="78"/>
      <c r="AD87" s="78"/>
      <c r="AE87" s="78"/>
      <c r="AF87" s="78"/>
      <c r="AG87" s="78"/>
      <c r="AH87" s="78"/>
      <c r="AI87" s="78"/>
      <c r="AJ87" s="78"/>
      <c r="AK87" s="78"/>
      <c r="AV87" s="78"/>
      <c r="AW87" s="78"/>
      <c r="AX87" s="78"/>
    </row>
    <row r="88" spans="2:50" ht="30" customHeight="1" thickBot="1" x14ac:dyDescent="0.25">
      <c r="B88" s="1022"/>
      <c r="C88" s="142" t="s">
        <v>346</v>
      </c>
      <c r="D88" s="133" t="s">
        <v>145</v>
      </c>
      <c r="E88" s="133" t="s">
        <v>170</v>
      </c>
      <c r="F88" s="133" t="s">
        <v>199</v>
      </c>
      <c r="G88" s="133" t="s">
        <v>171</v>
      </c>
      <c r="H88" s="133">
        <v>1392</v>
      </c>
      <c r="I88" s="338">
        <v>43228</v>
      </c>
      <c r="J88" s="341">
        <v>5000</v>
      </c>
      <c r="K88" s="342"/>
      <c r="L88" s="342"/>
      <c r="M88" s="399">
        <v>7.7</v>
      </c>
      <c r="N88" s="133">
        <v>7.9</v>
      </c>
      <c r="O88" s="399">
        <f t="shared" si="2"/>
        <v>5000.0077000000001</v>
      </c>
      <c r="P88" s="134">
        <f t="shared" si="11"/>
        <v>5000.0078999999996</v>
      </c>
      <c r="Q88" s="399">
        <f t="shared" si="12"/>
        <v>0.1154700535463913</v>
      </c>
      <c r="R88" s="143">
        <v>8</v>
      </c>
      <c r="S88" s="134">
        <f t="shared" si="13"/>
        <v>0.88975669159417592</v>
      </c>
      <c r="T88" s="133" t="str">
        <f t="shared" si="14"/>
        <v>M-016</v>
      </c>
      <c r="U88" s="558" t="s">
        <v>197</v>
      </c>
      <c r="V88" s="957"/>
      <c r="AC88" s="78"/>
      <c r="AD88" s="78"/>
      <c r="AE88" s="78"/>
      <c r="AF88" s="78"/>
      <c r="AG88" s="78"/>
      <c r="AH88" s="78"/>
      <c r="AI88" s="78"/>
      <c r="AJ88" s="78"/>
      <c r="AK88" s="78"/>
      <c r="AV88" s="78"/>
      <c r="AW88" s="78"/>
      <c r="AX88" s="78"/>
    </row>
    <row r="89" spans="2:50" ht="30" customHeight="1" x14ac:dyDescent="0.25">
      <c r="B89" s="79"/>
      <c r="U89" s="60"/>
      <c r="V89" s="699"/>
      <c r="W89" s="78"/>
      <c r="X89" s="78"/>
      <c r="Y89" s="78"/>
      <c r="Z89" s="78"/>
      <c r="AA89" s="78"/>
      <c r="AB89" s="78"/>
      <c r="AC89" s="78"/>
      <c r="AD89" s="78"/>
      <c r="AE89" s="78"/>
      <c r="AF89" s="78"/>
      <c r="AG89" s="78"/>
      <c r="AH89" s="78"/>
      <c r="AI89" s="78"/>
      <c r="AJ89" s="78"/>
      <c r="AK89" s="78"/>
      <c r="AV89" s="78"/>
      <c r="AW89" s="78"/>
      <c r="AX89" s="78"/>
    </row>
    <row r="90" spans="2:50" ht="30" customHeight="1" x14ac:dyDescent="0.25">
      <c r="B90" s="79"/>
      <c r="U90" s="60"/>
      <c r="V90" s="699"/>
      <c r="W90" s="78"/>
      <c r="X90" s="78"/>
      <c r="Y90" s="78"/>
      <c r="Z90" s="78"/>
      <c r="AA90" s="78"/>
      <c r="AB90" s="78"/>
      <c r="AC90" s="78"/>
      <c r="AD90" s="78"/>
      <c r="AE90" s="78"/>
      <c r="AF90" s="78"/>
      <c r="AG90" s="78"/>
      <c r="AH90" s="78"/>
      <c r="AI90" s="78"/>
      <c r="AJ90" s="78"/>
      <c r="AK90" s="78"/>
      <c r="AV90" s="78"/>
      <c r="AW90" s="78"/>
      <c r="AX90" s="78"/>
    </row>
    <row r="91" spans="2:50" ht="30" customHeight="1" x14ac:dyDescent="0.2">
      <c r="O91" s="60"/>
      <c r="P91" s="60"/>
      <c r="Q91" s="60"/>
      <c r="R91" s="60"/>
      <c r="S91" s="60"/>
      <c r="T91" s="60"/>
      <c r="U91" s="60"/>
      <c r="Z91" s="78"/>
      <c r="AA91" s="78"/>
      <c r="AB91" s="78"/>
      <c r="AC91" s="78"/>
      <c r="AD91" s="78"/>
      <c r="AE91" s="78"/>
      <c r="AF91" s="78"/>
      <c r="AG91" s="78"/>
      <c r="AH91" s="78"/>
      <c r="AI91" s="78"/>
      <c r="AJ91" s="78"/>
      <c r="AK91" s="78"/>
      <c r="AV91" s="78"/>
      <c r="AW91" s="78"/>
      <c r="AX91" s="78"/>
    </row>
    <row r="92" spans="2:50" ht="30" customHeight="1" x14ac:dyDescent="0.2">
      <c r="O92" s="60"/>
      <c r="P92" s="60"/>
      <c r="Q92" s="60"/>
      <c r="R92" s="60"/>
      <c r="S92" s="60"/>
      <c r="T92" s="60"/>
      <c r="U92" s="60"/>
      <c r="Z92" s="78"/>
      <c r="AA92" s="78"/>
      <c r="AB92" s="78"/>
      <c r="AC92" s="78"/>
      <c r="AD92" s="78"/>
      <c r="AE92" s="78"/>
      <c r="AF92" s="78"/>
      <c r="AG92" s="78"/>
      <c r="AH92" s="78"/>
      <c r="AI92" s="78"/>
      <c r="AJ92" s="78"/>
      <c r="AK92" s="78"/>
      <c r="AV92" s="78"/>
      <c r="AW92" s="78"/>
      <c r="AX92" s="78"/>
    </row>
    <row r="93" spans="2:50" ht="30" customHeight="1" x14ac:dyDescent="0.2">
      <c r="O93" s="60"/>
      <c r="P93" s="60"/>
      <c r="Q93" s="60"/>
      <c r="R93" s="60"/>
      <c r="S93" s="60"/>
      <c r="T93" s="60"/>
      <c r="U93" s="60"/>
      <c r="Z93" s="78"/>
      <c r="AA93" s="78"/>
      <c r="AB93" s="78"/>
      <c r="AC93" s="78"/>
      <c r="AD93" s="78"/>
      <c r="AE93" s="78"/>
      <c r="AF93" s="78"/>
      <c r="AG93" s="78"/>
      <c r="AH93" s="78"/>
      <c r="AI93" s="78"/>
      <c r="AJ93" s="78"/>
      <c r="AK93" s="78"/>
      <c r="AV93" s="78"/>
      <c r="AW93" s="78"/>
      <c r="AX93" s="78"/>
    </row>
    <row r="94" spans="2:50" ht="30" customHeight="1" x14ac:dyDescent="0.2">
      <c r="O94" s="60"/>
      <c r="P94" s="60"/>
      <c r="Q94" s="60"/>
      <c r="R94" s="60"/>
      <c r="S94" s="60"/>
      <c r="T94" s="60"/>
      <c r="U94" s="60"/>
      <c r="Z94" s="78"/>
      <c r="AA94" s="78"/>
      <c r="AB94" s="78"/>
      <c r="AC94" s="78"/>
      <c r="AD94" s="78"/>
      <c r="AE94" s="78"/>
      <c r="AF94" s="78"/>
      <c r="AG94" s="78"/>
      <c r="AH94" s="78"/>
      <c r="AI94" s="78"/>
      <c r="AJ94" s="78"/>
      <c r="AK94" s="78"/>
      <c r="AV94" s="78"/>
      <c r="AW94" s="78"/>
      <c r="AX94" s="78"/>
    </row>
    <row r="95" spans="2:50" ht="30" customHeight="1" thickBot="1" x14ac:dyDescent="0.25">
      <c r="O95" s="60"/>
      <c r="P95" s="60"/>
      <c r="Q95" s="60"/>
      <c r="R95" s="60"/>
      <c r="S95" s="60"/>
      <c r="T95" s="60"/>
      <c r="U95" s="60"/>
      <c r="Z95" s="78"/>
      <c r="AA95" s="78"/>
      <c r="AB95" s="78"/>
      <c r="AC95" s="78"/>
      <c r="AD95" s="78"/>
      <c r="AE95" s="78"/>
      <c r="AF95" s="78"/>
      <c r="AG95" s="78"/>
      <c r="AH95" s="78"/>
      <c r="AI95" s="78"/>
      <c r="AJ95" s="78"/>
      <c r="AK95" s="78"/>
      <c r="AV95" s="78"/>
      <c r="AW95" s="78"/>
      <c r="AX95" s="78"/>
    </row>
    <row r="96" spans="2:50" ht="30" customHeight="1" x14ac:dyDescent="0.2">
      <c r="B96" s="79"/>
      <c r="C96" s="1117" t="s">
        <v>245</v>
      </c>
      <c r="D96" s="1118"/>
      <c r="E96" s="1118"/>
      <c r="F96" s="1118"/>
      <c r="G96" s="1118"/>
      <c r="H96" s="1118"/>
      <c r="I96" s="1118"/>
      <c r="J96" s="1118"/>
      <c r="K96" s="1118"/>
      <c r="L96" s="1118"/>
      <c r="M96" s="1118"/>
      <c r="N96" s="1118"/>
      <c r="O96" s="1118"/>
      <c r="P96" s="1118"/>
      <c r="Q96" s="1118"/>
      <c r="R96" s="1118"/>
      <c r="S96" s="1118"/>
      <c r="T96" s="1119"/>
      <c r="U96" s="60"/>
      <c r="Z96" s="78"/>
      <c r="AA96" s="78"/>
      <c r="AB96" s="78"/>
      <c r="AC96" s="78"/>
      <c r="AD96" s="78"/>
      <c r="AE96" s="78"/>
      <c r="AF96" s="78"/>
      <c r="AG96" s="78"/>
      <c r="AH96" s="78"/>
      <c r="AI96" s="78"/>
      <c r="AJ96" s="78"/>
      <c r="AK96" s="78"/>
      <c r="AV96" s="78"/>
      <c r="AW96" s="78"/>
      <c r="AX96" s="78"/>
    </row>
    <row r="97" spans="1:50" ht="30" customHeight="1" thickBot="1" x14ac:dyDescent="0.25">
      <c r="B97" s="79"/>
      <c r="C97" s="1120"/>
      <c r="D97" s="1121"/>
      <c r="E97" s="1121"/>
      <c r="F97" s="1121"/>
      <c r="G97" s="1121"/>
      <c r="H97" s="1121"/>
      <c r="I97" s="1121"/>
      <c r="J97" s="1121"/>
      <c r="K97" s="1121"/>
      <c r="L97" s="1121"/>
      <c r="M97" s="1121"/>
      <c r="N97" s="1121"/>
      <c r="O97" s="1121"/>
      <c r="P97" s="1121"/>
      <c r="Q97" s="1121"/>
      <c r="R97" s="1121"/>
      <c r="S97" s="1121"/>
      <c r="T97" s="1122"/>
      <c r="U97" s="60"/>
      <c r="Z97" s="78"/>
      <c r="AA97" s="78"/>
      <c r="AB97" s="78"/>
      <c r="AC97" s="78"/>
      <c r="AD97" s="78"/>
      <c r="AE97" s="78"/>
      <c r="AF97" s="78"/>
      <c r="AG97" s="78"/>
      <c r="AH97" s="78"/>
      <c r="AI97" s="78"/>
      <c r="AJ97" s="78"/>
      <c r="AK97" s="78"/>
      <c r="AV97" s="78"/>
      <c r="AW97" s="78"/>
      <c r="AX97" s="78"/>
    </row>
    <row r="98" spans="1:50" ht="30" customHeight="1" thickBot="1" x14ac:dyDescent="0.25">
      <c r="B98" s="79"/>
      <c r="C98" s="1123" t="s">
        <v>425</v>
      </c>
      <c r="D98" s="1124"/>
      <c r="E98" s="1124"/>
      <c r="F98" s="1124"/>
      <c r="G98" s="1124"/>
      <c r="H98" s="1124"/>
      <c r="I98" s="1124"/>
      <c r="J98" s="1124"/>
      <c r="K98" s="1124"/>
      <c r="L98" s="1124"/>
      <c r="M98" s="1124"/>
      <c r="N98" s="1124"/>
      <c r="O98" s="1124"/>
      <c r="P98" s="1124"/>
      <c r="Q98" s="1124"/>
      <c r="R98" s="1124"/>
      <c r="S98" s="1124"/>
      <c r="T98" s="1125"/>
      <c r="U98" s="60"/>
      <c r="Z98" s="78"/>
      <c r="AA98" s="78"/>
      <c r="AB98" s="78"/>
      <c r="AC98" s="78"/>
      <c r="AD98" s="78"/>
      <c r="AE98" s="78"/>
      <c r="AF98" s="78"/>
      <c r="AG98" s="78"/>
      <c r="AH98" s="78"/>
      <c r="AI98" s="78"/>
      <c r="AJ98" s="78"/>
      <c r="AK98" s="78"/>
      <c r="AV98" s="78"/>
      <c r="AW98" s="78"/>
      <c r="AX98" s="78"/>
    </row>
    <row r="99" spans="1:50" ht="30" customHeight="1" x14ac:dyDescent="0.2">
      <c r="B99" s="79"/>
      <c r="C99" s="78"/>
      <c r="D99" s="1126" t="s">
        <v>3</v>
      </c>
      <c r="E99" s="1059" t="s">
        <v>178</v>
      </c>
      <c r="F99" s="1059" t="s">
        <v>179</v>
      </c>
      <c r="G99" s="1059" t="s">
        <v>180</v>
      </c>
      <c r="H99" s="1059" t="s">
        <v>181</v>
      </c>
      <c r="I99" s="1059" t="s">
        <v>182</v>
      </c>
      <c r="J99" s="1059" t="s">
        <v>183</v>
      </c>
      <c r="K99" s="1059" t="s">
        <v>184</v>
      </c>
      <c r="L99" s="985" t="s">
        <v>185</v>
      </c>
      <c r="O99" s="987" t="s">
        <v>246</v>
      </c>
      <c r="P99" s="988" t="s">
        <v>182</v>
      </c>
      <c r="Q99" s="989"/>
      <c r="R99" s="990"/>
      <c r="S99" s="1045" t="s">
        <v>184</v>
      </c>
      <c r="T99" s="985" t="s">
        <v>185</v>
      </c>
      <c r="U99" s="60"/>
      <c r="Z99" s="78"/>
      <c r="AA99" s="78"/>
      <c r="AB99" s="78"/>
      <c r="AC99" s="78"/>
      <c r="AD99" s="78"/>
      <c r="AE99" s="78"/>
      <c r="AF99" s="78"/>
      <c r="AG99" s="78"/>
      <c r="AH99" s="78"/>
      <c r="AI99" s="78"/>
      <c r="AJ99" s="78"/>
      <c r="AK99" s="78"/>
      <c r="AV99" s="78"/>
      <c r="AW99" s="78"/>
      <c r="AX99" s="78"/>
    </row>
    <row r="100" spans="1:50" ht="30" customHeight="1" thickBot="1" x14ac:dyDescent="0.25">
      <c r="B100" s="79"/>
      <c r="C100" s="80"/>
      <c r="D100" s="1127"/>
      <c r="E100" s="1060"/>
      <c r="F100" s="1060"/>
      <c r="G100" s="1060"/>
      <c r="H100" s="1060"/>
      <c r="I100" s="1060"/>
      <c r="J100" s="1060"/>
      <c r="K100" s="1060"/>
      <c r="L100" s="986"/>
      <c r="O100" s="987"/>
      <c r="P100" s="988"/>
      <c r="Q100" s="989"/>
      <c r="R100" s="990"/>
      <c r="S100" s="1046"/>
      <c r="T100" s="986"/>
      <c r="Z100" s="78"/>
      <c r="AA100" s="78"/>
      <c r="AB100" s="78"/>
      <c r="AC100" s="78"/>
      <c r="AD100" s="78"/>
      <c r="AE100" s="78"/>
      <c r="AF100" s="78"/>
      <c r="AG100" s="78"/>
      <c r="AH100" s="78"/>
      <c r="AI100" s="78"/>
      <c r="AJ100" s="78"/>
      <c r="AK100" s="78"/>
      <c r="AV100" s="78"/>
      <c r="AW100" s="78"/>
      <c r="AX100" s="78"/>
    </row>
    <row r="101" spans="1:50" ht="30" customHeight="1" thickBot="1" x14ac:dyDescent="0.25">
      <c r="A101" s="81"/>
      <c r="B101" s="82"/>
      <c r="C101" s="83"/>
      <c r="D101" s="83"/>
      <c r="E101" s="83"/>
      <c r="F101" s="83"/>
      <c r="G101" s="83"/>
      <c r="H101" s="83"/>
      <c r="I101" s="84"/>
      <c r="J101" s="84"/>
      <c r="K101" s="84"/>
      <c r="L101" s="84"/>
      <c r="O101" s="85"/>
      <c r="P101" s="85"/>
      <c r="Q101" s="85"/>
      <c r="R101" s="85"/>
      <c r="S101" s="86"/>
      <c r="T101" s="87"/>
      <c r="Z101" s="78"/>
      <c r="AA101" s="78"/>
      <c r="AB101" s="78"/>
      <c r="AC101" s="78"/>
      <c r="AD101" s="78"/>
      <c r="AE101" s="78"/>
      <c r="AF101" s="78"/>
      <c r="AG101" s="78"/>
      <c r="AH101" s="78"/>
      <c r="AI101" s="78"/>
      <c r="AJ101" s="78"/>
      <c r="AK101" s="78"/>
      <c r="AV101" s="78"/>
      <c r="AW101" s="78"/>
      <c r="AX101" s="78"/>
    </row>
    <row r="102" spans="1:50" ht="30" customHeight="1" x14ac:dyDescent="0.2">
      <c r="A102" s="1053" t="s">
        <v>224</v>
      </c>
      <c r="B102" s="1054"/>
      <c r="C102" s="991" t="s">
        <v>226</v>
      </c>
      <c r="D102" s="1000" t="s">
        <v>186</v>
      </c>
      <c r="E102" s="996" t="s">
        <v>206</v>
      </c>
      <c r="F102" s="253">
        <v>15.4</v>
      </c>
      <c r="G102" s="254">
        <v>0.1</v>
      </c>
      <c r="H102" s="255">
        <v>-0.1</v>
      </c>
      <c r="I102" s="256">
        <v>0.3</v>
      </c>
      <c r="J102" s="1047">
        <v>2</v>
      </c>
      <c r="K102" s="1094">
        <v>43606</v>
      </c>
      <c r="L102" s="1087" t="s">
        <v>310</v>
      </c>
      <c r="O102" s="127"/>
      <c r="P102" s="413" t="s">
        <v>222</v>
      </c>
      <c r="Q102" s="414" t="s">
        <v>422</v>
      </c>
      <c r="R102" s="414" t="s">
        <v>223</v>
      </c>
      <c r="S102" s="964" t="s">
        <v>426</v>
      </c>
      <c r="T102" s="999" t="s">
        <v>429</v>
      </c>
      <c r="Z102" s="78"/>
      <c r="AA102" s="78"/>
      <c r="AB102" s="78"/>
      <c r="AC102" s="78"/>
      <c r="AD102" s="78"/>
      <c r="AE102" s="78"/>
      <c r="AF102" s="78"/>
      <c r="AG102" s="78"/>
      <c r="AH102" s="78"/>
      <c r="AI102" s="78"/>
      <c r="AJ102" s="78"/>
      <c r="AK102" s="78"/>
      <c r="AV102" s="78"/>
      <c r="AW102" s="78"/>
      <c r="AX102" s="78"/>
    </row>
    <row r="103" spans="1:50" ht="30" customHeight="1" x14ac:dyDescent="0.2">
      <c r="A103" s="1055"/>
      <c r="B103" s="1056"/>
      <c r="C103" s="992"/>
      <c r="D103" s="1001"/>
      <c r="E103" s="997"/>
      <c r="F103" s="257">
        <v>24.7</v>
      </c>
      <c r="G103" s="258">
        <v>0.1</v>
      </c>
      <c r="H103" s="259">
        <v>0</v>
      </c>
      <c r="I103" s="260">
        <v>0.3</v>
      </c>
      <c r="J103" s="983"/>
      <c r="K103" s="1050"/>
      <c r="L103" s="1088"/>
      <c r="O103" s="994" t="s">
        <v>231</v>
      </c>
      <c r="P103" s="332">
        <f>MAX(I102:I104)</f>
        <v>0.3</v>
      </c>
      <c r="Q103" s="332">
        <f>MAX(I105:I107)</f>
        <v>1.7</v>
      </c>
      <c r="R103" s="332">
        <f>MAX(I108:I110)</f>
        <v>0.31</v>
      </c>
      <c r="S103" s="965"/>
      <c r="T103" s="968"/>
      <c r="Z103" s="78"/>
      <c r="AA103" s="78"/>
      <c r="AB103" s="78"/>
      <c r="AC103" s="78"/>
      <c r="AD103" s="78"/>
      <c r="AE103" s="78"/>
      <c r="AF103" s="78"/>
      <c r="AG103" s="78"/>
      <c r="AH103" s="78"/>
      <c r="AI103" s="78"/>
      <c r="AJ103" s="78"/>
      <c r="AK103" s="78"/>
      <c r="AV103" s="78"/>
      <c r="AW103" s="78"/>
      <c r="AX103" s="78"/>
    </row>
    <row r="104" spans="1:50" ht="30" customHeight="1" thickBot="1" x14ac:dyDescent="0.25">
      <c r="A104" s="1057"/>
      <c r="B104" s="1058"/>
      <c r="C104" s="992"/>
      <c r="D104" s="1001"/>
      <c r="E104" s="997"/>
      <c r="F104" s="261">
        <v>29.4</v>
      </c>
      <c r="G104" s="262">
        <v>0.1</v>
      </c>
      <c r="H104" s="263">
        <v>0</v>
      </c>
      <c r="I104" s="264">
        <v>0.3</v>
      </c>
      <c r="J104" s="1048"/>
      <c r="K104" s="1051"/>
      <c r="L104" s="1089"/>
      <c r="O104" s="995"/>
      <c r="P104" s="407"/>
      <c r="Q104" s="352"/>
      <c r="R104" s="352"/>
      <c r="S104" s="966"/>
      <c r="T104" s="969"/>
      <c r="Z104" s="78"/>
      <c r="AA104" s="78"/>
      <c r="AB104" s="78"/>
      <c r="AC104" s="78"/>
      <c r="AD104" s="78"/>
      <c r="AE104" s="78"/>
      <c r="AF104" s="78"/>
      <c r="AG104" s="78"/>
      <c r="AH104" s="78"/>
      <c r="AI104" s="78"/>
      <c r="AJ104" s="78"/>
      <c r="AK104" s="78"/>
      <c r="AV104" s="78"/>
      <c r="AW104" s="78"/>
      <c r="AX104" s="78"/>
    </row>
    <row r="105" spans="1:50" ht="30" customHeight="1" x14ac:dyDescent="0.2">
      <c r="A105" s="970" t="s">
        <v>225</v>
      </c>
      <c r="B105" s="971"/>
      <c r="C105" s="992"/>
      <c r="D105" s="1001"/>
      <c r="E105" s="997"/>
      <c r="F105" s="253">
        <v>33.200000000000003</v>
      </c>
      <c r="G105" s="254">
        <v>0.1</v>
      </c>
      <c r="H105" s="254">
        <v>-3.2</v>
      </c>
      <c r="I105" s="265">
        <v>1.7</v>
      </c>
      <c r="J105" s="982">
        <v>2</v>
      </c>
      <c r="K105" s="1049">
        <v>43608</v>
      </c>
      <c r="L105" s="1090" t="s">
        <v>311</v>
      </c>
      <c r="O105" s="60"/>
      <c r="P105" s="60"/>
      <c r="Q105" s="60"/>
      <c r="R105" s="60"/>
      <c r="S105" s="60"/>
      <c r="T105" s="60"/>
      <c r="Z105" s="78"/>
      <c r="AA105" s="78"/>
      <c r="AB105" s="78"/>
      <c r="AC105" s="78"/>
      <c r="AD105" s="78"/>
      <c r="AE105" s="78"/>
      <c r="AF105" s="78"/>
      <c r="AG105" s="78"/>
      <c r="AH105" s="78"/>
      <c r="AI105" s="78"/>
      <c r="AJ105" s="78"/>
      <c r="AK105" s="78"/>
      <c r="AV105" s="78"/>
      <c r="AW105" s="78"/>
      <c r="AX105" s="78"/>
    </row>
    <row r="106" spans="1:50" ht="30" customHeight="1" x14ac:dyDescent="0.2">
      <c r="A106" s="972"/>
      <c r="B106" s="973"/>
      <c r="C106" s="992"/>
      <c r="D106" s="1001"/>
      <c r="E106" s="997"/>
      <c r="F106" s="266">
        <v>51.2</v>
      </c>
      <c r="G106" s="258">
        <v>0.1</v>
      </c>
      <c r="H106" s="267">
        <v>-1.2</v>
      </c>
      <c r="I106" s="260">
        <v>1.7</v>
      </c>
      <c r="J106" s="983"/>
      <c r="K106" s="1050"/>
      <c r="L106" s="1088"/>
      <c r="O106" s="60"/>
      <c r="P106" s="60"/>
      <c r="Q106" s="60"/>
      <c r="R106" s="60"/>
      <c r="S106" s="60"/>
      <c r="T106" s="60"/>
      <c r="Z106" s="78"/>
      <c r="AA106" s="78"/>
      <c r="AB106" s="78"/>
      <c r="AC106" s="78"/>
      <c r="AD106" s="78"/>
      <c r="AE106" s="78"/>
      <c r="AF106" s="78"/>
      <c r="AG106" s="78"/>
      <c r="AH106" s="78"/>
      <c r="AI106" s="78"/>
      <c r="AJ106" s="78"/>
      <c r="AK106" s="78"/>
      <c r="AV106" s="78"/>
      <c r="AW106" s="78"/>
      <c r="AX106" s="78"/>
    </row>
    <row r="107" spans="1:50" ht="30" customHeight="1" thickBot="1" x14ac:dyDescent="0.25">
      <c r="A107" s="974"/>
      <c r="B107" s="975"/>
      <c r="C107" s="992"/>
      <c r="D107" s="1001"/>
      <c r="E107" s="997"/>
      <c r="F107" s="268">
        <v>77.2</v>
      </c>
      <c r="G107" s="262">
        <v>0.1</v>
      </c>
      <c r="H107" s="269">
        <v>2.8</v>
      </c>
      <c r="I107" s="264">
        <v>1.7</v>
      </c>
      <c r="J107" s="1048"/>
      <c r="K107" s="1051"/>
      <c r="L107" s="1089"/>
      <c r="O107" s="60"/>
      <c r="P107" s="60"/>
      <c r="Q107" s="60"/>
      <c r="R107" s="60"/>
      <c r="S107" s="60"/>
      <c r="Z107" s="78"/>
      <c r="AA107" s="78"/>
      <c r="AB107" s="78"/>
      <c r="AC107" s="78"/>
      <c r="AD107" s="78"/>
      <c r="AE107" s="78"/>
      <c r="AF107" s="78"/>
      <c r="AG107" s="78"/>
      <c r="AH107" s="78"/>
      <c r="AI107" s="78"/>
      <c r="AJ107" s="78"/>
      <c r="AK107" s="78"/>
      <c r="AV107" s="78"/>
      <c r="AW107" s="78"/>
      <c r="AX107" s="78"/>
    </row>
    <row r="108" spans="1:50" ht="30" customHeight="1" x14ac:dyDescent="0.2">
      <c r="A108" s="972" t="s">
        <v>247</v>
      </c>
      <c r="B108" s="973"/>
      <c r="C108" s="992"/>
      <c r="D108" s="1001"/>
      <c r="E108" s="997"/>
      <c r="F108" s="253">
        <v>698.2</v>
      </c>
      <c r="G108" s="254">
        <v>0.1</v>
      </c>
      <c r="H108" s="409">
        <v>-1.002</v>
      </c>
      <c r="I108" s="265">
        <v>9.2999999999999999E-2</v>
      </c>
      <c r="J108" s="982">
        <v>2</v>
      </c>
      <c r="K108" s="1049">
        <v>43600</v>
      </c>
      <c r="L108" s="1091" t="s">
        <v>312</v>
      </c>
      <c r="O108" s="60"/>
      <c r="P108" s="60"/>
      <c r="Q108" s="60"/>
      <c r="R108" s="60"/>
      <c r="S108" s="60"/>
      <c r="Z108" s="78"/>
      <c r="AA108" s="78"/>
      <c r="AB108" s="78"/>
      <c r="AC108" s="78"/>
      <c r="AD108" s="78"/>
      <c r="AE108" s="78"/>
      <c r="AF108" s="78"/>
      <c r="AG108" s="78"/>
      <c r="AH108" s="78"/>
      <c r="AI108" s="78"/>
      <c r="AJ108" s="78"/>
      <c r="AK108" s="78"/>
      <c r="AV108" s="78"/>
      <c r="AW108" s="78"/>
      <c r="AX108" s="78"/>
    </row>
    <row r="109" spans="1:50" ht="30" customHeight="1" x14ac:dyDescent="0.2">
      <c r="A109" s="972"/>
      <c r="B109" s="973"/>
      <c r="C109" s="992"/>
      <c r="D109" s="1001"/>
      <c r="E109" s="997"/>
      <c r="F109" s="257">
        <v>798.4</v>
      </c>
      <c r="G109" s="270">
        <v>0.1</v>
      </c>
      <c r="H109" s="270">
        <v>-0.77</v>
      </c>
      <c r="I109" s="260">
        <v>0.14000000000000001</v>
      </c>
      <c r="J109" s="983"/>
      <c r="K109" s="1050"/>
      <c r="L109" s="1092"/>
      <c r="O109" s="60"/>
      <c r="P109" s="60"/>
      <c r="Q109" s="60"/>
      <c r="R109" s="60"/>
      <c r="S109" s="60"/>
      <c r="Z109" s="78"/>
      <c r="AA109" s="78"/>
      <c r="AB109" s="78"/>
      <c r="AC109" s="78"/>
      <c r="AD109" s="78"/>
      <c r="AE109" s="78"/>
      <c r="AF109" s="78"/>
      <c r="AG109" s="78"/>
      <c r="AH109" s="78"/>
      <c r="AI109" s="78"/>
      <c r="AJ109" s="78"/>
      <c r="AK109" s="78"/>
      <c r="AV109" s="78"/>
      <c r="AW109" s="78"/>
      <c r="AX109" s="78"/>
    </row>
    <row r="110" spans="1:50" ht="30" customHeight="1" thickBot="1" x14ac:dyDescent="0.25">
      <c r="A110" s="974"/>
      <c r="B110" s="975"/>
      <c r="C110" s="993"/>
      <c r="D110" s="1002"/>
      <c r="E110" s="998"/>
      <c r="F110" s="261">
        <v>848.7</v>
      </c>
      <c r="G110" s="269">
        <v>0.1</v>
      </c>
      <c r="H110" s="269">
        <v>-0.78</v>
      </c>
      <c r="I110" s="264">
        <v>0.31</v>
      </c>
      <c r="J110" s="984"/>
      <c r="K110" s="1052"/>
      <c r="L110" s="1093"/>
      <c r="O110" s="60"/>
      <c r="P110" s="60"/>
      <c r="Q110" s="60"/>
      <c r="R110" s="60"/>
      <c r="S110" s="60"/>
      <c r="Z110" s="78"/>
      <c r="AA110" s="78"/>
      <c r="AB110" s="78"/>
      <c r="AC110" s="78"/>
      <c r="AD110" s="78"/>
      <c r="AE110" s="78"/>
      <c r="AF110" s="78"/>
      <c r="AG110" s="78"/>
      <c r="AH110" s="78"/>
      <c r="AI110" s="78"/>
      <c r="AJ110" s="78"/>
      <c r="AK110" s="78"/>
      <c r="AV110" s="78"/>
      <c r="AW110" s="78"/>
      <c r="AX110" s="78"/>
    </row>
    <row r="111" spans="1:50" ht="30" customHeight="1" thickBot="1" x14ac:dyDescent="0.25">
      <c r="A111" s="88"/>
      <c r="B111" s="88"/>
      <c r="C111" s="89"/>
      <c r="D111" s="90"/>
      <c r="E111" s="91"/>
      <c r="F111" s="92"/>
      <c r="G111" s="89"/>
      <c r="H111" s="89"/>
      <c r="I111" s="89"/>
      <c r="J111" s="89"/>
      <c r="K111" s="93"/>
      <c r="L111" s="89"/>
      <c r="O111" s="60"/>
      <c r="P111" s="60"/>
      <c r="Q111" s="60"/>
      <c r="R111" s="60"/>
      <c r="S111" s="60"/>
      <c r="U111" s="60"/>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row>
    <row r="112" spans="1:50" ht="30" customHeight="1" thickBot="1" x14ac:dyDescent="0.25">
      <c r="A112" s="61"/>
      <c r="B112" s="61"/>
      <c r="C112" s="61"/>
      <c r="D112" s="61"/>
      <c r="E112" s="61"/>
      <c r="F112" s="61"/>
      <c r="G112" s="61"/>
      <c r="H112" s="61"/>
      <c r="I112" s="61"/>
      <c r="J112" s="61"/>
      <c r="K112" s="61"/>
      <c r="L112" s="61"/>
      <c r="O112" s="60"/>
      <c r="P112" s="60"/>
      <c r="Q112" s="60"/>
      <c r="R112" s="60"/>
      <c r="S112" s="60"/>
      <c r="U112" s="60"/>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row>
    <row r="113" spans="1:50" ht="30" customHeight="1" x14ac:dyDescent="0.2">
      <c r="A113" s="1077" t="s">
        <v>224</v>
      </c>
      <c r="B113" s="1078"/>
      <c r="C113" s="991" t="s">
        <v>227</v>
      </c>
      <c r="D113" s="1083" t="s">
        <v>186</v>
      </c>
      <c r="E113" s="996">
        <v>19506160802033</v>
      </c>
      <c r="F113" s="271">
        <v>15.5</v>
      </c>
      <c r="G113" s="254">
        <v>0.1</v>
      </c>
      <c r="H113" s="254">
        <v>-0.2</v>
      </c>
      <c r="I113" s="265">
        <v>0.3</v>
      </c>
      <c r="J113" s="1069">
        <v>2</v>
      </c>
      <c r="K113" s="1070">
        <v>43606</v>
      </c>
      <c r="L113" s="1086" t="s">
        <v>313</v>
      </c>
      <c r="O113" s="94"/>
      <c r="P113" s="350" t="s">
        <v>222</v>
      </c>
      <c r="Q113" s="351" t="s">
        <v>422</v>
      </c>
      <c r="R113" s="351" t="s">
        <v>223</v>
      </c>
      <c r="S113" s="964" t="s">
        <v>426</v>
      </c>
      <c r="T113" s="967" t="s">
        <v>316</v>
      </c>
      <c r="U113" s="60"/>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row>
    <row r="114" spans="1:50" ht="30" customHeight="1" x14ac:dyDescent="0.2">
      <c r="A114" s="1079"/>
      <c r="B114" s="1080"/>
      <c r="C114" s="992"/>
      <c r="D114" s="1084"/>
      <c r="E114" s="997"/>
      <c r="F114" s="257">
        <v>24.6</v>
      </c>
      <c r="G114" s="270">
        <v>0.1</v>
      </c>
      <c r="H114" s="270">
        <v>0.1</v>
      </c>
      <c r="I114" s="260">
        <v>0.3</v>
      </c>
      <c r="J114" s="977"/>
      <c r="K114" s="979"/>
      <c r="L114" s="981"/>
      <c r="O114" s="994" t="s">
        <v>221</v>
      </c>
      <c r="P114" s="332">
        <f>MAX(I113:I115)</f>
        <v>0.4</v>
      </c>
      <c r="Q114" s="411">
        <f>MAX(I116:I118)</f>
        <v>1.7</v>
      </c>
      <c r="R114" s="412">
        <f>MAX(I119:I121)</f>
        <v>0.56999999999999995</v>
      </c>
      <c r="S114" s="965"/>
      <c r="T114" s="968"/>
      <c r="U114" s="60"/>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row>
    <row r="115" spans="1:50" ht="30" customHeight="1" thickBot="1" x14ac:dyDescent="0.25">
      <c r="A115" s="1081"/>
      <c r="B115" s="1082"/>
      <c r="C115" s="992"/>
      <c r="D115" s="1084"/>
      <c r="E115" s="997"/>
      <c r="F115" s="268">
        <v>33.9</v>
      </c>
      <c r="G115" s="269">
        <v>0.1</v>
      </c>
      <c r="H115" s="269">
        <v>0.3</v>
      </c>
      <c r="I115" s="264">
        <v>0.4</v>
      </c>
      <c r="J115" s="977"/>
      <c r="K115" s="979"/>
      <c r="L115" s="981"/>
      <c r="O115" s="995"/>
      <c r="P115" s="407"/>
      <c r="Q115" s="352"/>
      <c r="R115" s="352"/>
      <c r="S115" s="966"/>
      <c r="T115" s="969"/>
      <c r="U115" s="60"/>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row>
    <row r="116" spans="1:50" ht="30" customHeight="1" x14ac:dyDescent="0.2">
      <c r="A116" s="970" t="s">
        <v>225</v>
      </c>
      <c r="B116" s="971"/>
      <c r="C116" s="992"/>
      <c r="D116" s="1084"/>
      <c r="E116" s="997"/>
      <c r="F116" s="253">
        <v>32.700000000000003</v>
      </c>
      <c r="G116" s="272">
        <v>0.1</v>
      </c>
      <c r="H116" s="272">
        <v>-2.7</v>
      </c>
      <c r="I116" s="273">
        <v>1.7</v>
      </c>
      <c r="J116" s="976">
        <v>2</v>
      </c>
      <c r="K116" s="978">
        <v>43608</v>
      </c>
      <c r="L116" s="980" t="s">
        <v>314</v>
      </c>
      <c r="O116" s="60"/>
      <c r="P116" s="60"/>
      <c r="Q116" s="60"/>
      <c r="R116" s="60"/>
      <c r="U116" s="60"/>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row>
    <row r="117" spans="1:50" ht="30" customHeight="1" x14ac:dyDescent="0.2">
      <c r="A117" s="972"/>
      <c r="B117" s="973"/>
      <c r="C117" s="992"/>
      <c r="D117" s="1084"/>
      <c r="E117" s="997"/>
      <c r="F117" s="257">
        <v>50.7</v>
      </c>
      <c r="G117" s="274">
        <v>0.1</v>
      </c>
      <c r="H117" s="274">
        <v>-0.7</v>
      </c>
      <c r="I117" s="275">
        <v>1.7</v>
      </c>
      <c r="J117" s="977"/>
      <c r="K117" s="979"/>
      <c r="L117" s="981"/>
      <c r="O117" s="60"/>
      <c r="P117" s="60"/>
      <c r="Q117" s="60"/>
      <c r="R117" s="60"/>
      <c r="U117" s="60"/>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row>
    <row r="118" spans="1:50" ht="30" customHeight="1" thickBot="1" x14ac:dyDescent="0.3">
      <c r="A118" s="974"/>
      <c r="B118" s="975"/>
      <c r="C118" s="992"/>
      <c r="D118" s="1084"/>
      <c r="E118" s="997"/>
      <c r="F118" s="268">
        <v>68.099999999999994</v>
      </c>
      <c r="G118" s="276">
        <v>0.1</v>
      </c>
      <c r="H118" s="276">
        <v>1.8</v>
      </c>
      <c r="I118" s="277">
        <v>1.7</v>
      </c>
      <c r="J118" s="977"/>
      <c r="K118" s="979"/>
      <c r="L118" s="981"/>
      <c r="O118" s="60"/>
      <c r="P118" s="60"/>
      <c r="Q118" s="60"/>
      <c r="R118" s="60"/>
      <c r="U118" s="60"/>
      <c r="V118" s="700"/>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row>
    <row r="119" spans="1:50" ht="30" customHeight="1" x14ac:dyDescent="0.25">
      <c r="A119" s="970" t="s">
        <v>247</v>
      </c>
      <c r="B119" s="971"/>
      <c r="C119" s="992"/>
      <c r="D119" s="1084"/>
      <c r="E119" s="997"/>
      <c r="F119" s="271">
        <v>397.5</v>
      </c>
      <c r="G119" s="272">
        <v>0.1</v>
      </c>
      <c r="H119" s="353">
        <v>-1.67</v>
      </c>
      <c r="I119" s="354">
        <v>0.12</v>
      </c>
      <c r="J119" s="976">
        <v>2</v>
      </c>
      <c r="K119" s="978">
        <v>43587</v>
      </c>
      <c r="L119" s="1115" t="s">
        <v>315</v>
      </c>
      <c r="O119" s="60"/>
      <c r="P119" s="60"/>
      <c r="Q119" s="60"/>
      <c r="R119" s="60"/>
      <c r="T119" s="95"/>
      <c r="U119" s="60"/>
      <c r="V119" s="700"/>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row>
    <row r="120" spans="1:50" ht="30" customHeight="1" x14ac:dyDescent="0.25">
      <c r="A120" s="972"/>
      <c r="B120" s="973"/>
      <c r="C120" s="992"/>
      <c r="D120" s="1084"/>
      <c r="E120" s="997"/>
      <c r="F120" s="257">
        <v>798.5</v>
      </c>
      <c r="G120" s="274">
        <v>0.1</v>
      </c>
      <c r="H120" s="355">
        <v>-0.7</v>
      </c>
      <c r="I120" s="328">
        <v>0.27</v>
      </c>
      <c r="J120" s="977"/>
      <c r="K120" s="979"/>
      <c r="L120" s="981"/>
      <c r="O120" s="60"/>
      <c r="P120" s="60"/>
      <c r="Q120" s="60"/>
      <c r="R120" s="60"/>
      <c r="T120" s="76"/>
      <c r="U120" s="60"/>
      <c r="V120" s="700"/>
    </row>
    <row r="121" spans="1:50" ht="30" customHeight="1" thickBot="1" x14ac:dyDescent="0.3">
      <c r="A121" s="974"/>
      <c r="B121" s="975"/>
      <c r="C121" s="993"/>
      <c r="D121" s="1085"/>
      <c r="E121" s="998"/>
      <c r="F121" s="268">
        <v>1099.5999999999999</v>
      </c>
      <c r="G121" s="276">
        <v>0.1</v>
      </c>
      <c r="H121" s="356">
        <v>-0.28999999999999998</v>
      </c>
      <c r="I121" s="329">
        <v>0.56999999999999995</v>
      </c>
      <c r="J121" s="1075"/>
      <c r="K121" s="1076"/>
      <c r="L121" s="1100"/>
      <c r="O121" s="60"/>
      <c r="P121" s="60"/>
      <c r="Q121" s="60"/>
      <c r="R121" s="60"/>
      <c r="T121" s="76"/>
      <c r="U121" s="60"/>
      <c r="V121" s="700"/>
    </row>
    <row r="122" spans="1:50" ht="30" customHeight="1" thickBot="1" x14ac:dyDescent="0.3">
      <c r="A122" s="96"/>
      <c r="B122" s="97"/>
      <c r="C122" s="75"/>
      <c r="D122" s="98"/>
      <c r="E122" s="99"/>
      <c r="F122" s="75"/>
      <c r="G122" s="75"/>
      <c r="H122" s="75"/>
      <c r="I122" s="75"/>
      <c r="J122" s="75"/>
      <c r="K122" s="100"/>
      <c r="L122" s="101"/>
      <c r="O122" s="60"/>
      <c r="P122" s="60"/>
      <c r="Q122" s="60"/>
      <c r="R122" s="60"/>
      <c r="T122" s="76"/>
      <c r="U122" s="60"/>
      <c r="V122" s="700"/>
    </row>
    <row r="123" spans="1:50" ht="30" customHeight="1" thickBot="1" x14ac:dyDescent="0.3">
      <c r="A123" s="102"/>
      <c r="B123" s="85"/>
      <c r="C123" s="84"/>
      <c r="D123" s="84"/>
      <c r="E123" s="84"/>
      <c r="F123" s="84"/>
      <c r="G123" s="84"/>
      <c r="H123" s="84"/>
      <c r="I123" s="84"/>
      <c r="J123" s="84"/>
      <c r="K123" s="84"/>
      <c r="L123" s="84"/>
      <c r="O123" s="60"/>
      <c r="P123" s="60"/>
      <c r="Q123" s="60"/>
      <c r="R123" s="60"/>
      <c r="T123" s="76"/>
      <c r="U123" s="60"/>
      <c r="V123" s="700"/>
    </row>
    <row r="124" spans="1:50" ht="30" customHeight="1" x14ac:dyDescent="0.25">
      <c r="A124" s="1053" t="s">
        <v>224</v>
      </c>
      <c r="B124" s="1061"/>
      <c r="C124" s="991" t="s">
        <v>228</v>
      </c>
      <c r="D124" s="1066" t="s">
        <v>186</v>
      </c>
      <c r="E124" s="996">
        <v>19406160802033</v>
      </c>
      <c r="F124" s="271">
        <v>15.3</v>
      </c>
      <c r="G124" s="254">
        <v>0.1</v>
      </c>
      <c r="H124" s="255">
        <v>-0.1</v>
      </c>
      <c r="I124" s="345">
        <v>0.3</v>
      </c>
      <c r="J124" s="1069">
        <v>2</v>
      </c>
      <c r="K124" s="1070">
        <v>43732</v>
      </c>
      <c r="L124" s="1086" t="s">
        <v>349</v>
      </c>
      <c r="O124" s="415"/>
      <c r="P124" s="350" t="s">
        <v>222</v>
      </c>
      <c r="Q124" s="351" t="s">
        <v>422</v>
      </c>
      <c r="R124" s="351" t="s">
        <v>223</v>
      </c>
      <c r="S124" s="964" t="s">
        <v>427</v>
      </c>
      <c r="T124" s="967" t="s">
        <v>352</v>
      </c>
      <c r="U124" s="60"/>
      <c r="V124" s="700"/>
    </row>
    <row r="125" spans="1:50" ht="30" customHeight="1" x14ac:dyDescent="0.25">
      <c r="A125" s="1062"/>
      <c r="B125" s="1063"/>
      <c r="C125" s="992"/>
      <c r="D125" s="1067"/>
      <c r="E125" s="997"/>
      <c r="F125" s="257">
        <v>24.8</v>
      </c>
      <c r="G125" s="270">
        <v>0.1</v>
      </c>
      <c r="H125" s="267">
        <v>0</v>
      </c>
      <c r="I125" s="346">
        <v>0.3</v>
      </c>
      <c r="J125" s="977"/>
      <c r="K125" s="979"/>
      <c r="L125" s="981"/>
      <c r="O125" s="1113" t="s">
        <v>232</v>
      </c>
      <c r="P125" s="332">
        <f>MAX(I124:I126)</f>
        <v>0.3</v>
      </c>
      <c r="Q125" s="326">
        <f>MAX(I127:I129)</f>
        <v>1.7</v>
      </c>
      <c r="R125" s="326">
        <f>MAX(I130:I132)</f>
        <v>0.28999999999999998</v>
      </c>
      <c r="S125" s="965"/>
      <c r="T125" s="968"/>
      <c r="U125" s="60"/>
      <c r="V125" s="700"/>
    </row>
    <row r="126" spans="1:50" ht="30" customHeight="1" thickBot="1" x14ac:dyDescent="0.3">
      <c r="A126" s="1064"/>
      <c r="B126" s="1065"/>
      <c r="C126" s="992"/>
      <c r="D126" s="1067"/>
      <c r="E126" s="997"/>
      <c r="F126" s="268">
        <v>29.6</v>
      </c>
      <c r="G126" s="269">
        <v>0.1</v>
      </c>
      <c r="H126" s="269">
        <v>0.1</v>
      </c>
      <c r="I126" s="264">
        <v>0.3</v>
      </c>
      <c r="J126" s="977"/>
      <c r="K126" s="979"/>
      <c r="L126" s="981"/>
      <c r="O126" s="1114"/>
      <c r="P126" s="327"/>
      <c r="Q126" s="352"/>
      <c r="R126" s="352"/>
      <c r="S126" s="966"/>
      <c r="T126" s="969"/>
      <c r="U126" s="60"/>
      <c r="V126" s="700"/>
    </row>
    <row r="127" spans="1:50" ht="30" customHeight="1" x14ac:dyDescent="0.25">
      <c r="A127" s="970" t="s">
        <v>225</v>
      </c>
      <c r="B127" s="1071"/>
      <c r="C127" s="992"/>
      <c r="D127" s="1067"/>
      <c r="E127" s="997"/>
      <c r="F127" s="253">
        <v>32.299999999999997</v>
      </c>
      <c r="G127" s="254">
        <v>0.1</v>
      </c>
      <c r="H127" s="254">
        <v>-2.2999999999999998</v>
      </c>
      <c r="I127" s="265">
        <v>1.7</v>
      </c>
      <c r="J127" s="1074">
        <v>2</v>
      </c>
      <c r="K127" s="978">
        <v>43733</v>
      </c>
      <c r="L127" s="980" t="s">
        <v>350</v>
      </c>
      <c r="O127" s="60"/>
      <c r="P127" s="60"/>
      <c r="Q127" s="60"/>
      <c r="R127" s="60"/>
      <c r="T127" s="76"/>
      <c r="U127" s="60"/>
      <c r="V127" s="700"/>
    </row>
    <row r="128" spans="1:50" ht="30" customHeight="1" x14ac:dyDescent="0.25">
      <c r="A128" s="972"/>
      <c r="B128" s="1072"/>
      <c r="C128" s="992"/>
      <c r="D128" s="1067"/>
      <c r="E128" s="997"/>
      <c r="F128" s="257">
        <v>50.6</v>
      </c>
      <c r="G128" s="270">
        <v>0.1</v>
      </c>
      <c r="H128" s="270">
        <v>-0.6</v>
      </c>
      <c r="I128" s="260">
        <v>1.7</v>
      </c>
      <c r="J128" s="977">
        <v>2</v>
      </c>
      <c r="K128" s="979"/>
      <c r="L128" s="981"/>
      <c r="O128" s="60"/>
      <c r="P128" s="60"/>
      <c r="Q128" s="60"/>
      <c r="R128" s="60"/>
      <c r="T128" s="76"/>
      <c r="U128" s="60"/>
      <c r="V128" s="700"/>
    </row>
    <row r="129" spans="1:22" ht="30" customHeight="1" thickBot="1" x14ac:dyDescent="0.3">
      <c r="A129" s="974"/>
      <c r="B129" s="1073"/>
      <c r="C129" s="992"/>
      <c r="D129" s="1067"/>
      <c r="E129" s="997"/>
      <c r="F129" s="268">
        <v>68.599999999999994</v>
      </c>
      <c r="G129" s="269">
        <v>0.1</v>
      </c>
      <c r="H129" s="269">
        <v>1.4</v>
      </c>
      <c r="I129" s="264">
        <v>1.7</v>
      </c>
      <c r="J129" s="977"/>
      <c r="K129" s="979"/>
      <c r="L129" s="981"/>
      <c r="O129" s="60"/>
      <c r="P129" s="60"/>
      <c r="Q129" s="60"/>
      <c r="R129" s="60"/>
      <c r="T129" s="76"/>
      <c r="U129" s="60"/>
      <c r="V129" s="700"/>
    </row>
    <row r="130" spans="1:22" ht="30" customHeight="1" x14ac:dyDescent="0.25">
      <c r="A130" s="970" t="s">
        <v>247</v>
      </c>
      <c r="B130" s="1071"/>
      <c r="C130" s="992"/>
      <c r="D130" s="1067"/>
      <c r="E130" s="997"/>
      <c r="F130" s="271">
        <v>497.8</v>
      </c>
      <c r="G130" s="254">
        <v>0.1</v>
      </c>
      <c r="H130" s="347">
        <v>-1.4</v>
      </c>
      <c r="I130" s="331">
        <v>0.17</v>
      </c>
      <c r="J130" s="1074">
        <v>2</v>
      </c>
      <c r="K130" s="978">
        <v>43733</v>
      </c>
      <c r="L130" s="1099" t="s">
        <v>351</v>
      </c>
      <c r="O130" s="60"/>
      <c r="P130" s="60"/>
      <c r="Q130" s="60"/>
      <c r="R130" s="60"/>
      <c r="T130" s="76"/>
      <c r="U130" s="60"/>
      <c r="V130" s="700"/>
    </row>
    <row r="131" spans="1:22" ht="30" customHeight="1" x14ac:dyDescent="0.25">
      <c r="A131" s="972"/>
      <c r="B131" s="1072"/>
      <c r="C131" s="992"/>
      <c r="D131" s="1067"/>
      <c r="E131" s="997"/>
      <c r="F131" s="257">
        <v>698.2</v>
      </c>
      <c r="G131" s="270">
        <v>0.1</v>
      </c>
      <c r="H131" s="348">
        <v>-0.92</v>
      </c>
      <c r="I131" s="328">
        <v>0.11</v>
      </c>
      <c r="J131" s="977">
        <v>2</v>
      </c>
      <c r="K131" s="979">
        <v>42671</v>
      </c>
      <c r="L131" s="981" t="s">
        <v>205</v>
      </c>
      <c r="O131" s="60"/>
      <c r="P131" s="60"/>
      <c r="Q131" s="60"/>
      <c r="R131" s="60"/>
      <c r="T131" s="76"/>
      <c r="U131" s="60"/>
      <c r="V131" s="700"/>
    </row>
    <row r="132" spans="1:22" ht="30" customHeight="1" thickBot="1" x14ac:dyDescent="0.3">
      <c r="A132" s="974"/>
      <c r="B132" s="1073"/>
      <c r="C132" s="993"/>
      <c r="D132" s="1068"/>
      <c r="E132" s="998"/>
      <c r="F132" s="268">
        <v>1098.8</v>
      </c>
      <c r="G132" s="269">
        <v>0.1</v>
      </c>
      <c r="H132" s="349">
        <v>-0.68</v>
      </c>
      <c r="I132" s="329">
        <v>0.28999999999999998</v>
      </c>
      <c r="J132" s="1075"/>
      <c r="K132" s="1076"/>
      <c r="L132" s="1100"/>
      <c r="O132" s="60"/>
      <c r="P132" s="60"/>
      <c r="Q132" s="60"/>
      <c r="R132" s="60"/>
      <c r="T132" s="76"/>
      <c r="U132" s="60"/>
      <c r="V132" s="700"/>
    </row>
    <row r="133" spans="1:22" ht="30" customHeight="1" thickBot="1" x14ac:dyDescent="0.3">
      <c r="A133" s="81"/>
      <c r="B133" s="84"/>
      <c r="C133" s="61"/>
      <c r="D133" s="61"/>
      <c r="E133" s="61"/>
      <c r="F133" s="61"/>
      <c r="G133" s="61"/>
      <c r="H133" s="61"/>
      <c r="I133" s="61"/>
      <c r="J133" s="61"/>
      <c r="K133" s="61"/>
      <c r="L133" s="61"/>
      <c r="O133" s="60"/>
      <c r="P133" s="60"/>
      <c r="Q133" s="60"/>
      <c r="R133" s="60"/>
      <c r="T133" s="76"/>
      <c r="U133" s="60"/>
      <c r="V133" s="700"/>
    </row>
    <row r="134" spans="1:22" ht="30" customHeight="1" x14ac:dyDescent="0.25">
      <c r="A134" s="1101" t="s">
        <v>224</v>
      </c>
      <c r="B134" s="1066"/>
      <c r="C134" s="1107" t="s">
        <v>229</v>
      </c>
      <c r="D134" s="1066" t="s">
        <v>186</v>
      </c>
      <c r="E134" s="996" t="s">
        <v>203</v>
      </c>
      <c r="F134" s="253">
        <v>15.5</v>
      </c>
      <c r="G134" s="254">
        <v>0.1</v>
      </c>
      <c r="H134" s="255">
        <v>-0.2</v>
      </c>
      <c r="I134" s="278">
        <v>0.3</v>
      </c>
      <c r="J134" s="1103">
        <v>2</v>
      </c>
      <c r="K134" s="1070">
        <v>43599</v>
      </c>
      <c r="L134" s="1086" t="s">
        <v>317</v>
      </c>
      <c r="O134" s="94"/>
      <c r="P134" s="350" t="s">
        <v>222</v>
      </c>
      <c r="Q134" s="351" t="s">
        <v>422</v>
      </c>
      <c r="R134" s="351" t="s">
        <v>223</v>
      </c>
      <c r="S134" s="964" t="s">
        <v>428</v>
      </c>
      <c r="T134" s="967" t="s">
        <v>320</v>
      </c>
      <c r="U134" s="60"/>
      <c r="V134" s="700"/>
    </row>
    <row r="135" spans="1:22" ht="30" customHeight="1" x14ac:dyDescent="0.25">
      <c r="A135" s="1102"/>
      <c r="B135" s="1067"/>
      <c r="C135" s="1084"/>
      <c r="D135" s="1067"/>
      <c r="E135" s="997"/>
      <c r="F135" s="257">
        <v>24.6</v>
      </c>
      <c r="G135" s="270">
        <v>0.1</v>
      </c>
      <c r="H135" s="267">
        <v>0.1</v>
      </c>
      <c r="I135" s="279">
        <v>0.3</v>
      </c>
      <c r="J135" s="1098"/>
      <c r="K135" s="979"/>
      <c r="L135" s="981"/>
      <c r="O135" s="994" t="s">
        <v>219</v>
      </c>
      <c r="P135" s="410">
        <f>MAX(I134:I136)</f>
        <v>0.3</v>
      </c>
      <c r="Q135" s="406">
        <f>MAX(I137:I139)</f>
        <v>1.7</v>
      </c>
      <c r="R135" s="406">
        <f>MAX(I140:I142)</f>
        <v>0.34</v>
      </c>
      <c r="S135" s="965"/>
      <c r="T135" s="968"/>
      <c r="U135" s="60"/>
      <c r="V135" s="700"/>
    </row>
    <row r="136" spans="1:22" ht="30" customHeight="1" thickBot="1" x14ac:dyDescent="0.3">
      <c r="A136" s="1102"/>
      <c r="B136" s="1067"/>
      <c r="C136" s="1084"/>
      <c r="D136" s="1067"/>
      <c r="E136" s="997"/>
      <c r="F136" s="261">
        <v>29.2</v>
      </c>
      <c r="G136" s="269">
        <v>0.1</v>
      </c>
      <c r="H136" s="280">
        <v>0.3</v>
      </c>
      <c r="I136" s="281">
        <v>0.3</v>
      </c>
      <c r="J136" s="1098">
        <v>1.96</v>
      </c>
      <c r="K136" s="979"/>
      <c r="L136" s="981"/>
      <c r="O136" s="995"/>
      <c r="P136" s="407"/>
      <c r="Q136" s="352"/>
      <c r="R136" s="352"/>
      <c r="S136" s="966"/>
      <c r="T136" s="969"/>
      <c r="U136" s="60"/>
      <c r="V136" s="700"/>
    </row>
    <row r="137" spans="1:22" ht="30" customHeight="1" x14ac:dyDescent="0.25">
      <c r="A137" s="1095" t="s">
        <v>225</v>
      </c>
      <c r="B137" s="1096"/>
      <c r="C137" s="1084"/>
      <c r="D137" s="1067"/>
      <c r="E137" s="997"/>
      <c r="F137" s="253">
        <v>33.6</v>
      </c>
      <c r="G137" s="254">
        <v>0.1</v>
      </c>
      <c r="H137" s="254">
        <v>-3.6</v>
      </c>
      <c r="I137" s="331">
        <v>1.7</v>
      </c>
      <c r="J137" s="1097">
        <v>2</v>
      </c>
      <c r="K137" s="978">
        <v>43600</v>
      </c>
      <c r="L137" s="980" t="s">
        <v>318</v>
      </c>
      <c r="O137" s="60"/>
      <c r="P137" s="60"/>
      <c r="Q137" s="60"/>
      <c r="R137" s="60"/>
      <c r="T137" s="76"/>
      <c r="U137" s="60"/>
      <c r="V137" s="700"/>
    </row>
    <row r="138" spans="1:22" ht="30" customHeight="1" x14ac:dyDescent="0.25">
      <c r="A138" s="1095"/>
      <c r="B138" s="1096"/>
      <c r="C138" s="1084"/>
      <c r="D138" s="1067"/>
      <c r="E138" s="997"/>
      <c r="F138" s="257">
        <v>51.2</v>
      </c>
      <c r="G138" s="270">
        <v>0.1</v>
      </c>
      <c r="H138" s="270">
        <v>-1.2</v>
      </c>
      <c r="I138" s="328">
        <v>1.7</v>
      </c>
      <c r="J138" s="1098">
        <v>1.96</v>
      </c>
      <c r="K138" s="979"/>
      <c r="L138" s="981"/>
      <c r="O138" s="60"/>
      <c r="P138" s="60"/>
      <c r="Q138" s="60"/>
      <c r="R138" s="60"/>
      <c r="T138" s="76"/>
      <c r="U138" s="60"/>
      <c r="V138" s="700"/>
    </row>
    <row r="139" spans="1:22" ht="30" customHeight="1" thickBot="1" x14ac:dyDescent="0.3">
      <c r="A139" s="1095"/>
      <c r="B139" s="1096"/>
      <c r="C139" s="1084"/>
      <c r="D139" s="1067"/>
      <c r="E139" s="997"/>
      <c r="F139" s="268">
        <v>68.5</v>
      </c>
      <c r="G139" s="269">
        <v>0.1</v>
      </c>
      <c r="H139" s="269">
        <v>1.5</v>
      </c>
      <c r="I139" s="329">
        <v>1.7</v>
      </c>
      <c r="J139" s="1098"/>
      <c r="K139" s="979"/>
      <c r="L139" s="981"/>
      <c r="O139" s="60"/>
      <c r="P139" s="60"/>
      <c r="Q139" s="60"/>
      <c r="R139" s="60"/>
      <c r="T139" s="76"/>
      <c r="U139" s="60"/>
      <c r="V139" s="700"/>
    </row>
    <row r="140" spans="1:22" ht="30" customHeight="1" x14ac:dyDescent="0.2">
      <c r="A140" s="1095" t="s">
        <v>247</v>
      </c>
      <c r="B140" s="1096"/>
      <c r="C140" s="1084"/>
      <c r="D140" s="1067"/>
      <c r="E140" s="997"/>
      <c r="F140" s="253">
        <v>698.3</v>
      </c>
      <c r="G140" s="254">
        <v>0.1</v>
      </c>
      <c r="H140" s="254">
        <v>-0.92</v>
      </c>
      <c r="I140" s="331">
        <v>0.11</v>
      </c>
      <c r="J140" s="1097">
        <v>2</v>
      </c>
      <c r="K140" s="978">
        <v>43600</v>
      </c>
      <c r="L140" s="1099" t="s">
        <v>319</v>
      </c>
      <c r="O140" s="60"/>
      <c r="P140" s="60"/>
      <c r="Q140" s="60"/>
      <c r="R140" s="60"/>
      <c r="T140" s="61"/>
    </row>
    <row r="141" spans="1:22" ht="30" customHeight="1" x14ac:dyDescent="0.2">
      <c r="A141" s="1095"/>
      <c r="B141" s="1096"/>
      <c r="C141" s="1084"/>
      <c r="D141" s="1067"/>
      <c r="E141" s="997"/>
      <c r="F141" s="257">
        <v>798.4</v>
      </c>
      <c r="G141" s="270">
        <v>0.1</v>
      </c>
      <c r="H141" s="348">
        <v>-0.82099999999999995</v>
      </c>
      <c r="I141" s="328">
        <v>8.7999999999999995E-2</v>
      </c>
      <c r="J141" s="1098">
        <v>2</v>
      </c>
      <c r="K141" s="979">
        <v>42625</v>
      </c>
      <c r="L141" s="981" t="s">
        <v>204</v>
      </c>
      <c r="O141" s="60"/>
      <c r="P141" s="60"/>
      <c r="Q141" s="60"/>
      <c r="R141" s="60"/>
      <c r="T141" s="61"/>
    </row>
    <row r="142" spans="1:22" ht="30" customHeight="1" thickBot="1" x14ac:dyDescent="0.25">
      <c r="A142" s="1104"/>
      <c r="B142" s="1105"/>
      <c r="C142" s="1085"/>
      <c r="D142" s="1068"/>
      <c r="E142" s="998"/>
      <c r="F142" s="268">
        <v>848.7</v>
      </c>
      <c r="G142" s="269">
        <v>0.1</v>
      </c>
      <c r="H142" s="269">
        <v>-0.75</v>
      </c>
      <c r="I142" s="329">
        <v>0.34</v>
      </c>
      <c r="J142" s="1106"/>
      <c r="K142" s="1076"/>
      <c r="L142" s="1100"/>
      <c r="O142" s="60"/>
      <c r="P142" s="60"/>
      <c r="Q142" s="60"/>
      <c r="R142" s="60"/>
      <c r="T142" s="61"/>
    </row>
    <row r="143" spans="1:22" ht="30" customHeight="1" thickBot="1" x14ac:dyDescent="0.25">
      <c r="A143" s="103"/>
      <c r="B143" s="61"/>
      <c r="C143" s="61"/>
      <c r="D143" s="61"/>
      <c r="E143" s="61"/>
      <c r="F143" s="61"/>
      <c r="G143" s="61"/>
      <c r="H143" s="61"/>
      <c r="I143" s="61"/>
      <c r="J143" s="61"/>
      <c r="K143" s="61"/>
      <c r="L143" s="61"/>
      <c r="O143" s="60"/>
      <c r="P143" s="60"/>
      <c r="Q143" s="60"/>
      <c r="R143" s="60"/>
      <c r="T143" s="61"/>
    </row>
    <row r="144" spans="1:22" ht="30" customHeight="1" x14ac:dyDescent="0.2">
      <c r="A144" s="1101" t="s">
        <v>224</v>
      </c>
      <c r="B144" s="1066"/>
      <c r="C144" s="1107" t="s">
        <v>230</v>
      </c>
      <c r="D144" s="1066" t="s">
        <v>186</v>
      </c>
      <c r="E144" s="1116" t="s">
        <v>200</v>
      </c>
      <c r="F144" s="253">
        <v>15.4</v>
      </c>
      <c r="G144" s="254">
        <v>0.1</v>
      </c>
      <c r="H144" s="255">
        <v>-0.1</v>
      </c>
      <c r="I144" s="278">
        <v>0.3</v>
      </c>
      <c r="J144" s="1069">
        <v>2</v>
      </c>
      <c r="K144" s="1070">
        <v>43599</v>
      </c>
      <c r="L144" s="1086" t="s">
        <v>321</v>
      </c>
      <c r="O144" s="94"/>
      <c r="P144" s="350" t="s">
        <v>222</v>
      </c>
      <c r="Q144" s="351" t="s">
        <v>422</v>
      </c>
      <c r="R144" s="351" t="s">
        <v>223</v>
      </c>
      <c r="S144" s="964" t="s">
        <v>428</v>
      </c>
      <c r="T144" s="967" t="s">
        <v>324</v>
      </c>
    </row>
    <row r="145" spans="1:20" ht="30" customHeight="1" x14ac:dyDescent="0.2">
      <c r="A145" s="1102"/>
      <c r="B145" s="1067"/>
      <c r="C145" s="1084"/>
      <c r="D145" s="1067"/>
      <c r="E145" s="997"/>
      <c r="F145" s="266">
        <v>24.7</v>
      </c>
      <c r="G145" s="270">
        <v>0.1</v>
      </c>
      <c r="H145" s="267">
        <v>0</v>
      </c>
      <c r="I145" s="279">
        <v>0.3</v>
      </c>
      <c r="J145" s="977"/>
      <c r="K145" s="979"/>
      <c r="L145" s="981"/>
      <c r="O145" s="994" t="s">
        <v>233</v>
      </c>
      <c r="P145" s="410">
        <f>MAX(I144:I146)</f>
        <v>0.3</v>
      </c>
      <c r="Q145" s="406">
        <f>MAX(I147:I149)</f>
        <v>1.7</v>
      </c>
      <c r="R145" s="406">
        <f>MAX(I150:I152)</f>
        <v>0.11</v>
      </c>
      <c r="S145" s="965"/>
      <c r="T145" s="968"/>
    </row>
    <row r="146" spans="1:20" ht="30" customHeight="1" thickBot="1" x14ac:dyDescent="0.25">
      <c r="A146" s="1102"/>
      <c r="B146" s="1067"/>
      <c r="C146" s="1084"/>
      <c r="D146" s="1067"/>
      <c r="E146" s="997"/>
      <c r="F146" s="261">
        <v>29.4</v>
      </c>
      <c r="G146" s="269">
        <v>0.1</v>
      </c>
      <c r="H146" s="280">
        <v>0.1</v>
      </c>
      <c r="I146" s="282">
        <v>0.3</v>
      </c>
      <c r="J146" s="977"/>
      <c r="K146" s="979"/>
      <c r="L146" s="981"/>
      <c r="O146" s="995"/>
      <c r="P146" s="407"/>
      <c r="Q146" s="352"/>
      <c r="R146" s="352"/>
      <c r="S146" s="966"/>
      <c r="T146" s="969"/>
    </row>
    <row r="147" spans="1:20" ht="30" customHeight="1" x14ac:dyDescent="0.2">
      <c r="A147" s="1095" t="s">
        <v>225</v>
      </c>
      <c r="B147" s="1096"/>
      <c r="C147" s="1084"/>
      <c r="D147" s="1067"/>
      <c r="E147" s="997"/>
      <c r="F147" s="253">
        <v>33.6</v>
      </c>
      <c r="G147" s="254">
        <v>0.1</v>
      </c>
      <c r="H147" s="254">
        <v>-3.6</v>
      </c>
      <c r="I147" s="331">
        <v>1.7</v>
      </c>
      <c r="J147" s="1074">
        <v>2</v>
      </c>
      <c r="K147" s="978">
        <v>43600</v>
      </c>
      <c r="L147" s="980" t="s">
        <v>322</v>
      </c>
      <c r="O147" s="60"/>
      <c r="P147" s="60"/>
      <c r="Q147" s="60"/>
      <c r="R147" s="60"/>
      <c r="T147" s="61"/>
    </row>
    <row r="148" spans="1:20" ht="30" customHeight="1" x14ac:dyDescent="0.2">
      <c r="A148" s="1095"/>
      <c r="B148" s="1096"/>
      <c r="C148" s="1084"/>
      <c r="D148" s="1067"/>
      <c r="E148" s="997"/>
      <c r="F148" s="257">
        <v>51.2</v>
      </c>
      <c r="G148" s="270">
        <v>0.1</v>
      </c>
      <c r="H148" s="270">
        <v>-1.2</v>
      </c>
      <c r="I148" s="330">
        <v>1.7</v>
      </c>
      <c r="J148" s="977"/>
      <c r="K148" s="979"/>
      <c r="L148" s="981"/>
      <c r="O148" s="60"/>
      <c r="P148" s="60"/>
      <c r="Q148" s="60"/>
      <c r="R148" s="60"/>
      <c r="T148" s="61"/>
    </row>
    <row r="149" spans="1:20" ht="30" customHeight="1" thickBot="1" x14ac:dyDescent="0.25">
      <c r="A149" s="1095"/>
      <c r="B149" s="1096"/>
      <c r="C149" s="1084"/>
      <c r="D149" s="1067"/>
      <c r="E149" s="997"/>
      <c r="F149" s="268">
        <v>68.3</v>
      </c>
      <c r="G149" s="269">
        <v>0.1</v>
      </c>
      <c r="H149" s="269">
        <v>1.7</v>
      </c>
      <c r="I149" s="283">
        <v>1.7</v>
      </c>
      <c r="J149" s="977"/>
      <c r="K149" s="979"/>
      <c r="L149" s="981"/>
      <c r="O149" s="60"/>
      <c r="P149" s="60"/>
      <c r="Q149" s="60"/>
      <c r="R149" s="60"/>
      <c r="T149" s="61"/>
    </row>
    <row r="150" spans="1:20" ht="30" customHeight="1" x14ac:dyDescent="0.2">
      <c r="A150" s="1095" t="s">
        <v>247</v>
      </c>
      <c r="B150" s="1096"/>
      <c r="C150" s="1084"/>
      <c r="D150" s="1067"/>
      <c r="E150" s="997"/>
      <c r="F150" s="271">
        <v>698.2</v>
      </c>
      <c r="G150" s="254">
        <v>0.1</v>
      </c>
      <c r="H150" s="254">
        <v>-0.99</v>
      </c>
      <c r="I150" s="331">
        <v>6.8000000000000005E-2</v>
      </c>
      <c r="J150" s="1097">
        <v>1.96</v>
      </c>
      <c r="K150" s="978">
        <v>43600</v>
      </c>
      <c r="L150" s="1099" t="s">
        <v>323</v>
      </c>
      <c r="O150" s="61"/>
      <c r="T150" s="61"/>
    </row>
    <row r="151" spans="1:20" ht="30" customHeight="1" x14ac:dyDescent="0.2">
      <c r="A151" s="1095"/>
      <c r="B151" s="1096"/>
      <c r="C151" s="1084"/>
      <c r="D151" s="1067"/>
      <c r="E151" s="997"/>
      <c r="F151" s="257">
        <v>751.8</v>
      </c>
      <c r="G151" s="270">
        <v>0.1</v>
      </c>
      <c r="H151" s="348">
        <v>-0.88</v>
      </c>
      <c r="I151" s="328">
        <v>8.6999999999999994E-2</v>
      </c>
      <c r="J151" s="1098">
        <v>1.96</v>
      </c>
      <c r="K151" s="979">
        <v>42586</v>
      </c>
      <c r="L151" s="981" t="s">
        <v>201</v>
      </c>
      <c r="O151" s="61"/>
      <c r="T151" s="61"/>
    </row>
    <row r="152" spans="1:20" ht="30" customHeight="1" thickBot="1" x14ac:dyDescent="0.25">
      <c r="A152" s="1104"/>
      <c r="B152" s="1105"/>
      <c r="C152" s="1085"/>
      <c r="D152" s="1068"/>
      <c r="E152" s="998"/>
      <c r="F152" s="268">
        <v>798.4</v>
      </c>
      <c r="G152" s="269">
        <v>0.1</v>
      </c>
      <c r="H152" s="269">
        <v>-0.73</v>
      </c>
      <c r="I152" s="329">
        <v>0.11</v>
      </c>
      <c r="J152" s="1106">
        <v>2</v>
      </c>
      <c r="K152" s="1076">
        <v>42625</v>
      </c>
      <c r="L152" s="1100" t="s">
        <v>202</v>
      </c>
      <c r="O152" s="61"/>
      <c r="T152" s="61"/>
    </row>
    <row r="153" spans="1:20" ht="30" customHeight="1" thickBot="1" x14ac:dyDescent="0.25"/>
    <row r="154" spans="1:20" ht="30" customHeight="1" thickBot="1" x14ac:dyDescent="0.25">
      <c r="A154" s="961" t="s">
        <v>248</v>
      </c>
      <c r="B154" s="962"/>
      <c r="C154" s="962"/>
      <c r="D154" s="962"/>
      <c r="E154" s="962"/>
      <c r="F154" s="963"/>
      <c r="H154" s="961" t="s">
        <v>192</v>
      </c>
      <c r="I154" s="962"/>
      <c r="J154" s="962"/>
      <c r="K154" s="963"/>
    </row>
    <row r="155" spans="1:20" ht="30" customHeight="1" thickBot="1" x14ac:dyDescent="0.25">
      <c r="A155" s="212" t="s">
        <v>106</v>
      </c>
      <c r="B155" s="1006" t="s">
        <v>296</v>
      </c>
      <c r="C155" s="1007"/>
      <c r="D155" s="1007"/>
      <c r="E155" s="1007"/>
      <c r="F155" s="1008"/>
      <c r="H155" s="1108" t="s">
        <v>275</v>
      </c>
      <c r="I155" s="1109"/>
      <c r="J155" s="1109"/>
      <c r="K155" s="1110"/>
    </row>
    <row r="156" spans="1:20" ht="30" customHeight="1" x14ac:dyDescent="0.2">
      <c r="A156" s="128"/>
      <c r="B156" s="1009"/>
      <c r="C156" s="1009"/>
      <c r="D156" s="1010"/>
      <c r="E156" s="1010"/>
      <c r="F156" s="213"/>
      <c r="H156" s="104">
        <v>5</v>
      </c>
      <c r="I156" s="105" t="s">
        <v>152</v>
      </c>
      <c r="J156" s="106">
        <v>8200</v>
      </c>
      <c r="K156" s="74"/>
    </row>
    <row r="157" spans="1:20" ht="30" customHeight="1" x14ac:dyDescent="0.2">
      <c r="A157" s="109" t="s">
        <v>174</v>
      </c>
      <c r="B157" s="1003" t="s">
        <v>175</v>
      </c>
      <c r="C157" s="1003"/>
      <c r="D157" s="1004" t="s">
        <v>370</v>
      </c>
      <c r="E157" s="1004"/>
      <c r="F157" s="243" t="s">
        <v>269</v>
      </c>
      <c r="H157" s="219">
        <v>7.8E-2</v>
      </c>
      <c r="I157" s="107"/>
      <c r="J157" s="220">
        <v>5.5999999999999997E-6</v>
      </c>
      <c r="K157" s="108"/>
    </row>
    <row r="158" spans="1:20" ht="30" customHeight="1" thickBot="1" x14ac:dyDescent="0.25">
      <c r="A158" s="109" t="s">
        <v>176</v>
      </c>
      <c r="B158" s="1003" t="s">
        <v>177</v>
      </c>
      <c r="C158" s="1003"/>
      <c r="D158" s="1004" t="s">
        <v>371</v>
      </c>
      <c r="E158" s="1004"/>
      <c r="F158" s="243" t="s">
        <v>269</v>
      </c>
    </row>
    <row r="159" spans="1:20" ht="42.75" customHeight="1" thickBot="1" x14ac:dyDescent="0.25">
      <c r="A159" s="110" t="s">
        <v>368</v>
      </c>
      <c r="B159" s="1005" t="s">
        <v>372</v>
      </c>
      <c r="C159" s="1005"/>
      <c r="D159" s="1004" t="s">
        <v>371</v>
      </c>
      <c r="E159" s="1004"/>
      <c r="F159" s="244" t="s">
        <v>269</v>
      </c>
      <c r="G159" s="245" t="s">
        <v>246</v>
      </c>
      <c r="H159" s="246" t="str">
        <f>D99</f>
        <v>Fabricante</v>
      </c>
      <c r="I159" s="247" t="str">
        <f>E99</f>
        <v>Identificación / Serie</v>
      </c>
      <c r="J159" s="247" t="str">
        <f>S99</f>
        <v>Fecha de Calibración</v>
      </c>
      <c r="K159" s="247" t="str">
        <f>T99</f>
        <v>Trazabilidad y numero</v>
      </c>
      <c r="L159" s="247" t="s">
        <v>222</v>
      </c>
      <c r="M159" s="247" t="s">
        <v>422</v>
      </c>
      <c r="N159" s="247" t="s">
        <v>223</v>
      </c>
      <c r="O159" s="247" t="s">
        <v>265</v>
      </c>
      <c r="P159" s="247" t="s">
        <v>266</v>
      </c>
      <c r="Q159" s="247" t="s">
        <v>423</v>
      </c>
      <c r="R159" s="247" t="s">
        <v>424</v>
      </c>
      <c r="S159" s="247" t="s">
        <v>267</v>
      </c>
      <c r="T159" s="248" t="s">
        <v>268</v>
      </c>
    </row>
    <row r="160" spans="1:20" ht="50.1" customHeight="1" thickBot="1" x14ac:dyDescent="0.25">
      <c r="G160" s="215"/>
      <c r="H160" s="216"/>
      <c r="I160" s="216"/>
      <c r="J160" s="216"/>
      <c r="K160" s="216"/>
      <c r="L160" s="216"/>
      <c r="M160" s="216"/>
      <c r="N160" s="216"/>
      <c r="O160" s="216"/>
      <c r="P160" s="217"/>
      <c r="Q160" s="217"/>
      <c r="R160" s="217"/>
      <c r="S160" s="217"/>
      <c r="T160" s="112"/>
    </row>
    <row r="161" spans="7:20" ht="50.1" customHeight="1" x14ac:dyDescent="0.2">
      <c r="G161" s="389" t="str">
        <f>O103</f>
        <v>V-002</v>
      </c>
      <c r="H161" s="323" t="str">
        <f>D102</f>
        <v>Lufft Opus 20</v>
      </c>
      <c r="I161" s="390" t="str">
        <f>E102</f>
        <v>0,23.0714.0802.024</v>
      </c>
      <c r="J161" s="386" t="str">
        <f>S102</f>
        <v>2019-05-21 / 2019-05-23 / 2019-05-15</v>
      </c>
      <c r="K161" s="350" t="str">
        <f>T102</f>
        <v>INM  3998 - INM 4006 - INM 2313</v>
      </c>
      <c r="L161" s="323">
        <f>P103</f>
        <v>0.3</v>
      </c>
      <c r="M161" s="323">
        <f>Q103</f>
        <v>1.7</v>
      </c>
      <c r="N161" s="323">
        <f t="shared" ref="N161" si="15">R103</f>
        <v>0.31</v>
      </c>
      <c r="O161" s="324">
        <f>SLOPE(H102:H104,F102:F104)</f>
        <v>7.6498785212423676E-3</v>
      </c>
      <c r="P161" s="324">
        <f>INTERCEPT(H102:H104,F102:F104)</f>
        <v>-0.21055551907544817</v>
      </c>
      <c r="Q161" s="324">
        <f>SLOPE(H105:H107,F105:F107)</f>
        <v>0.13760217983651227</v>
      </c>
      <c r="R161" s="324">
        <f>INTERCEPT(H105:H107,F105:F107)</f>
        <v>-7.9455040871934619</v>
      </c>
      <c r="S161" s="324">
        <f>SLOPE(H108:H110,F108:F110)</f>
        <v>1.5943723491910079E-3</v>
      </c>
      <c r="T161" s="391">
        <f>INTERCEPT(H108:H110,F108:F110)</f>
        <v>-2.0970938235192236</v>
      </c>
    </row>
    <row r="162" spans="7:20" ht="50.1" customHeight="1" x14ac:dyDescent="0.2">
      <c r="G162" s="392" t="str">
        <f>O135</f>
        <v>M-010</v>
      </c>
      <c r="H162" s="333" t="str">
        <f>D134</f>
        <v>Lufft Opus 20</v>
      </c>
      <c r="I162" s="393" t="str">
        <f>E134</f>
        <v>0,26.0714.0802.024</v>
      </c>
      <c r="J162" s="387" t="str">
        <f>S134</f>
        <v>2019-05-14 / 2019-05-15 / 2019-05-15</v>
      </c>
      <c r="K162" s="332" t="str">
        <f>T134</f>
        <v>INM 3985 - INM 3987 -   INM 2314</v>
      </c>
      <c r="L162" s="394">
        <f>P135</f>
        <v>0.3</v>
      </c>
      <c r="M162" s="394">
        <f>Q135</f>
        <v>1.7</v>
      </c>
      <c r="N162" s="395">
        <f t="shared" ref="N162" si="16">R135</f>
        <v>0.34</v>
      </c>
      <c r="O162" s="325">
        <f>SLOPE(H134:H136,F134:F136)</f>
        <v>3.6000822875951452E-2</v>
      </c>
      <c r="P162" s="325">
        <f>INTERCEPT(H134:H136,F134:F136)</f>
        <v>-0.76495234176781179</v>
      </c>
      <c r="Q162" s="325">
        <f>SLOPE(H137:H139,F137:F139)</f>
        <v>0.14610357623723358</v>
      </c>
      <c r="R162" s="325">
        <f>INTERCEPT(H137:H139,F137:F139)</f>
        <v>-8.5658927457226355</v>
      </c>
      <c r="S162" s="325">
        <f>SLOPE(H140:H142,F140:F142)</f>
        <v>1.1102903418968183E-3</v>
      </c>
      <c r="T162" s="396">
        <f>INTERCEPT(H140:H142,F140:F142)</f>
        <v>-1.6983583226282657</v>
      </c>
    </row>
    <row r="163" spans="7:20" ht="50.1" customHeight="1" x14ac:dyDescent="0.2">
      <c r="G163" s="392" t="str">
        <f>O145</f>
        <v>M-011</v>
      </c>
      <c r="H163" s="333" t="str">
        <f>D144</f>
        <v>Lufft Opus 20</v>
      </c>
      <c r="I163" s="397" t="str">
        <f>E144</f>
        <v>0,22.0714.0802.024</v>
      </c>
      <c r="J163" s="387" t="str">
        <f>S144</f>
        <v>2019-05-14 / 2019-05-15 / 2019-05-15</v>
      </c>
      <c r="K163" s="332" t="str">
        <f>T144</f>
        <v>INM-39864-INM 3988-INM 2315</v>
      </c>
      <c r="L163" s="394">
        <f>P145</f>
        <v>0.3</v>
      </c>
      <c r="M163" s="394">
        <f>Q145</f>
        <v>1.7</v>
      </c>
      <c r="N163" s="395">
        <f t="shared" ref="N163" si="17">R145</f>
        <v>0.11</v>
      </c>
      <c r="O163" s="325">
        <f>SLOPE(H144:H146,F144:F146)</f>
        <v>1.3789480596230877E-2</v>
      </c>
      <c r="P163" s="325">
        <f>INTERCEPT(H144:H146,F144:F146)</f>
        <v>-0.31945630047934864</v>
      </c>
      <c r="Q163" s="325">
        <f>SLOPE(H147:H149,F147:F149)</f>
        <v>0.15265797836413364</v>
      </c>
      <c r="R163" s="325">
        <f>INTERCEPT(H147:H149,F147:F149)</f>
        <v>-8.8239788291829537</v>
      </c>
      <c r="S163" s="325">
        <f>SLOPE(H150:H152,F150:F152)</f>
        <v>2.5813149339457058E-3</v>
      </c>
      <c r="T163" s="396">
        <f>INTERCEPT(H150:H152,F150:F152)</f>
        <v>-2.8012761658278418</v>
      </c>
    </row>
    <row r="164" spans="7:20" ht="50.1" customHeight="1" x14ac:dyDescent="0.2">
      <c r="G164" s="392" t="str">
        <f>O114</f>
        <v xml:space="preserve">M-012  </v>
      </c>
      <c r="H164" s="333" t="str">
        <f>D113</f>
        <v>Lufft Opus 20</v>
      </c>
      <c r="I164" s="393">
        <f>E113</f>
        <v>19506160802033</v>
      </c>
      <c r="J164" s="387" t="str">
        <f>S113</f>
        <v>2019-05-21 / 2019-05-23 / 2019-05-15</v>
      </c>
      <c r="K164" s="332" t="str">
        <f>T113</f>
        <v>INM-3997, INM 4005 - INM 2316</v>
      </c>
      <c r="L164" s="333">
        <f>P114</f>
        <v>0.4</v>
      </c>
      <c r="M164" s="333">
        <f>Q114</f>
        <v>1.7</v>
      </c>
      <c r="N164" s="333">
        <f t="shared" ref="N164" si="18">R114</f>
        <v>0.56999999999999995</v>
      </c>
      <c r="O164" s="325">
        <f>SLOPE(H113:H115,F113:F115)</f>
        <v>2.7153152443586816E-2</v>
      </c>
      <c r="P164" s="325">
        <f>INTERCEPT(H113:H115,F113:F115)</f>
        <v>-0.60311109360847481</v>
      </c>
      <c r="Q164" s="325">
        <f>SLOPE(H116:H118,F116:F118)</f>
        <v>0.12702668198646755</v>
      </c>
      <c r="R164" s="325">
        <f>INTERCEPT(H116:H118,F116:F118)</f>
        <v>-6.9481807736499448</v>
      </c>
      <c r="S164" s="325">
        <f>SLOPE(H119:H121,F119:F121)</f>
        <v>1.9899325989336312E-3</v>
      </c>
      <c r="T164" s="396">
        <f>INTERCEPT(H119:H121,F119:F121)</f>
        <v>-2.4093630913706812</v>
      </c>
    </row>
    <row r="165" spans="7:20" ht="50.1" customHeight="1" thickBot="1" x14ac:dyDescent="0.25">
      <c r="G165" s="398" t="str">
        <f>O125</f>
        <v xml:space="preserve">M-013  </v>
      </c>
      <c r="H165" s="399" t="str">
        <f>D124</f>
        <v>Lufft Opus 20</v>
      </c>
      <c r="I165" s="400">
        <f>E124</f>
        <v>19406160802033</v>
      </c>
      <c r="J165" s="388" t="str">
        <f>S124</f>
        <v xml:space="preserve">2019-09-24  / 2019-09-25  / 2019-08-25 </v>
      </c>
      <c r="K165" s="401" t="str">
        <f>T124</f>
        <v>INM 4216 - INM 4217 -  INM 2346</v>
      </c>
      <c r="L165" s="399">
        <f>P125</f>
        <v>0.3</v>
      </c>
      <c r="M165" s="399">
        <f>Q125</f>
        <v>1.7</v>
      </c>
      <c r="N165" s="399">
        <f t="shared" ref="N165" si="19">R125</f>
        <v>0.28999999999999998</v>
      </c>
      <c r="O165" s="402">
        <f>SLOPE(H124:H126,F124:F126)</f>
        <v>1.3499905595065769E-2</v>
      </c>
      <c r="P165" s="402">
        <f>INTERCEPT(H124:H126,F124:F126)</f>
        <v>-0.31364780665869468</v>
      </c>
      <c r="Q165" s="402">
        <f>SLOPE(H127:H129,F127:F129)</f>
        <v>0.101903287496585</v>
      </c>
      <c r="R165" s="402">
        <f>INTERCEPT(H127:H129,F127:F129)</f>
        <v>-5.6461160185775423</v>
      </c>
      <c r="S165" s="402">
        <f>SLOPE(H130:H132,F130:F132)</f>
        <v>1.1125130090065254E-3</v>
      </c>
      <c r="T165" s="403">
        <f>INTERCEPT(H130:H132,F130:F132)</f>
        <v>-1.8509982843560584</v>
      </c>
    </row>
    <row r="199" spans="64:67" ht="35.1" customHeight="1" x14ac:dyDescent="0.25">
      <c r="BL199" s="111"/>
      <c r="BM199" s="111"/>
      <c r="BN199" s="111"/>
      <c r="BO199" s="111"/>
    </row>
    <row r="200" spans="64:67" ht="35.1" customHeight="1" x14ac:dyDescent="0.25">
      <c r="BL200" s="111"/>
      <c r="BM200" s="111"/>
      <c r="BN200" s="111"/>
      <c r="BO200" s="111"/>
    </row>
    <row r="201" spans="64:67" ht="35.1" customHeight="1" x14ac:dyDescent="0.25">
      <c r="BL201" s="111"/>
      <c r="BM201" s="111"/>
      <c r="BN201" s="111"/>
      <c r="BO201" s="111"/>
    </row>
    <row r="202" spans="64:67" ht="35.1" customHeight="1" x14ac:dyDescent="0.25">
      <c r="BL202" s="111"/>
      <c r="BM202" s="111"/>
      <c r="BN202" s="111"/>
      <c r="BO202" s="111"/>
    </row>
  </sheetData>
  <sheetProtection password="CF5C" sheet="1" objects="1" scenarios="1"/>
  <mergeCells count="169">
    <mergeCell ref="T144:T146"/>
    <mergeCell ref="H154:K154"/>
    <mergeCell ref="H155:K155"/>
    <mergeCell ref="L5:L6"/>
    <mergeCell ref="O114:O115"/>
    <mergeCell ref="O125:O126"/>
    <mergeCell ref="O135:O136"/>
    <mergeCell ref="O145:O146"/>
    <mergeCell ref="E113:E121"/>
    <mergeCell ref="J119:J121"/>
    <mergeCell ref="K119:K121"/>
    <mergeCell ref="L119:L121"/>
    <mergeCell ref="E124:E132"/>
    <mergeCell ref="E134:E142"/>
    <mergeCell ref="E144:E152"/>
    <mergeCell ref="C96:T97"/>
    <mergeCell ref="C98:T98"/>
    <mergeCell ref="D99:D100"/>
    <mergeCell ref="E99:E100"/>
    <mergeCell ref="F99:F100"/>
    <mergeCell ref="G99:G100"/>
    <mergeCell ref="H99:H100"/>
    <mergeCell ref="I99:I100"/>
    <mergeCell ref="S102:S104"/>
    <mergeCell ref="S144:S146"/>
    <mergeCell ref="A147:B149"/>
    <mergeCell ref="J147:J149"/>
    <mergeCell ref="K147:K149"/>
    <mergeCell ref="L147:L149"/>
    <mergeCell ref="A144:B146"/>
    <mergeCell ref="D144:D152"/>
    <mergeCell ref="J144:J146"/>
    <mergeCell ref="K144:K146"/>
    <mergeCell ref="A150:B152"/>
    <mergeCell ref="J150:J152"/>
    <mergeCell ref="K150:K152"/>
    <mergeCell ref="C144:C152"/>
    <mergeCell ref="L150:L152"/>
    <mergeCell ref="L144:L146"/>
    <mergeCell ref="S134:S136"/>
    <mergeCell ref="T134:T136"/>
    <mergeCell ref="A137:B139"/>
    <mergeCell ref="J137:J139"/>
    <mergeCell ref="K137:K139"/>
    <mergeCell ref="L137:L139"/>
    <mergeCell ref="L130:L132"/>
    <mergeCell ref="A134:B136"/>
    <mergeCell ref="D134:D142"/>
    <mergeCell ref="J134:J136"/>
    <mergeCell ref="K134:K136"/>
    <mergeCell ref="L134:L136"/>
    <mergeCell ref="A140:B142"/>
    <mergeCell ref="J140:J142"/>
    <mergeCell ref="K140:K142"/>
    <mergeCell ref="L140:L142"/>
    <mergeCell ref="C124:C132"/>
    <mergeCell ref="C134:C142"/>
    <mergeCell ref="L124:L126"/>
    <mergeCell ref="S124:S126"/>
    <mergeCell ref="T124:T126"/>
    <mergeCell ref="A127:B129"/>
    <mergeCell ref="J127:J129"/>
    <mergeCell ref="K127:K129"/>
    <mergeCell ref="C113:C121"/>
    <mergeCell ref="K99:K100"/>
    <mergeCell ref="L127:L129"/>
    <mergeCell ref="A124:B126"/>
    <mergeCell ref="D124:D132"/>
    <mergeCell ref="J124:J126"/>
    <mergeCell ref="K124:K126"/>
    <mergeCell ref="A130:B132"/>
    <mergeCell ref="J130:J132"/>
    <mergeCell ref="K130:K132"/>
    <mergeCell ref="A119:B121"/>
    <mergeCell ref="A108:B110"/>
    <mergeCell ref="A113:B115"/>
    <mergeCell ref="D113:D121"/>
    <mergeCell ref="J113:J115"/>
    <mergeCell ref="K113:K115"/>
    <mergeCell ref="L113:L115"/>
    <mergeCell ref="L102:L104"/>
    <mergeCell ref="L105:L107"/>
    <mergeCell ref="L108:L110"/>
    <mergeCell ref="K102:K104"/>
    <mergeCell ref="S99:S100"/>
    <mergeCell ref="T99:T100"/>
    <mergeCell ref="J102:J104"/>
    <mergeCell ref="J105:J107"/>
    <mergeCell ref="A105:B107"/>
    <mergeCell ref="K105:K107"/>
    <mergeCell ref="K108:K110"/>
    <mergeCell ref="A102:B104"/>
    <mergeCell ref="J99:J100"/>
    <mergeCell ref="C14:C15"/>
    <mergeCell ref="D14:D15"/>
    <mergeCell ref="E14:E15"/>
    <mergeCell ref="F14:F15"/>
    <mergeCell ref="H14:H15"/>
    <mergeCell ref="I14:I15"/>
    <mergeCell ref="J14:J15"/>
    <mergeCell ref="K14:K15"/>
    <mergeCell ref="L14:L15"/>
    <mergeCell ref="G14:G15"/>
    <mergeCell ref="D5:D6"/>
    <mergeCell ref="E5:E6"/>
    <mergeCell ref="F5:F6"/>
    <mergeCell ref="G5:G6"/>
    <mergeCell ref="H5:H6"/>
    <mergeCell ref="I5:I6"/>
    <mergeCell ref="J5:J6"/>
    <mergeCell ref="K5:K6"/>
    <mergeCell ref="C12:L13"/>
    <mergeCell ref="M5:M6"/>
    <mergeCell ref="N5:N6"/>
    <mergeCell ref="C3:N4"/>
    <mergeCell ref="B28:B32"/>
    <mergeCell ref="U25:U26"/>
    <mergeCell ref="B73:B88"/>
    <mergeCell ref="B55:B70"/>
    <mergeCell ref="B38:B54"/>
    <mergeCell ref="T25:T26"/>
    <mergeCell ref="R25:R26"/>
    <mergeCell ref="C25:C26"/>
    <mergeCell ref="D25:D26"/>
    <mergeCell ref="E25:E26"/>
    <mergeCell ref="F25:F26"/>
    <mergeCell ref="G25:G26"/>
    <mergeCell ref="H25:H26"/>
    <mergeCell ref="I25:I26"/>
    <mergeCell ref="J25:J26"/>
    <mergeCell ref="N25:N26"/>
    <mergeCell ref="P25:P26"/>
    <mergeCell ref="K25:K26"/>
    <mergeCell ref="L25:L26"/>
    <mergeCell ref="S25:S26"/>
    <mergeCell ref="C5:C6"/>
    <mergeCell ref="B157:C157"/>
    <mergeCell ref="D157:E157"/>
    <mergeCell ref="B158:C158"/>
    <mergeCell ref="D158:E158"/>
    <mergeCell ref="B159:C159"/>
    <mergeCell ref="D159:E159"/>
    <mergeCell ref="B155:F155"/>
    <mergeCell ref="B156:C156"/>
    <mergeCell ref="D156:E156"/>
    <mergeCell ref="V25:V26"/>
    <mergeCell ref="C23:V24"/>
    <mergeCell ref="V28:V32"/>
    <mergeCell ref="V38:V54"/>
    <mergeCell ref="V55:V70"/>
    <mergeCell ref="V73:V88"/>
    <mergeCell ref="O25:O26"/>
    <mergeCell ref="M25:M26"/>
    <mergeCell ref="A154:F154"/>
    <mergeCell ref="S113:S115"/>
    <mergeCell ref="T113:T115"/>
    <mergeCell ref="A116:B118"/>
    <mergeCell ref="J116:J118"/>
    <mergeCell ref="K116:K118"/>
    <mergeCell ref="L116:L118"/>
    <mergeCell ref="J108:J110"/>
    <mergeCell ref="L99:L100"/>
    <mergeCell ref="O99:O100"/>
    <mergeCell ref="P99:R100"/>
    <mergeCell ref="C102:C110"/>
    <mergeCell ref="O103:O104"/>
    <mergeCell ref="E102:E110"/>
    <mergeCell ref="T102:T104"/>
    <mergeCell ref="D102:D110"/>
  </mergeCells>
  <pageMargins left="0.70866141732283472" right="0.70866141732283472" top="0.74803149606299213" bottom="0.74803149606299213" header="0.31496062992125984" footer="0.31496062992125984"/>
  <pageSetup scale="10" orientation="landscape" horizontalDpi="4294967293" r:id="rId1"/>
  <headerFooter>
    <oddFooter>&amp;RRT03-F12 Vr.11 (2020-05-09)
Página &amp;P de 3</oddFooter>
  </headerFooter>
  <rowBreaks count="2" manualBreakCount="2">
    <brk id="89" max="16383" man="1"/>
    <brk id="112" max="16383" man="1"/>
  </rowBreaks>
  <ignoredErrors>
    <ignoredError sqref="P103:R103 P125:Q125 P135:R135 P145:R145 O161:O165 P161:P165 Q161:Q165 R161:R165 S161:S165 T161:T165"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Z144"/>
  <sheetViews>
    <sheetView showGridLines="0" view="pageBreakPreview" zoomScale="90" zoomScaleNormal="80" zoomScaleSheetLayoutView="90" workbookViewId="0">
      <selection activeCell="D13" sqref="D13"/>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9.42578125" style="1" customWidth="1"/>
    <col min="13" max="13" width="19" style="1" customWidth="1"/>
    <col min="14" max="16" width="18.7109375" style="1" customWidth="1"/>
    <col min="17" max="17" width="14.28515625" style="1" customWidth="1"/>
    <col min="18" max="18" width="11.28515625" style="843" hidden="1" customWidth="1"/>
    <col min="19" max="20" width="10.85546875" style="843" hidden="1" customWidth="1"/>
    <col min="21" max="21" width="12.28515625" style="843" hidden="1" customWidth="1"/>
    <col min="22" max="22" width="10.7109375" style="843" hidden="1" customWidth="1"/>
    <col min="23" max="23" width="7.140625" style="843" hidden="1" customWidth="1"/>
    <col min="24" max="24" width="5.85546875" style="843" hidden="1" customWidth="1"/>
    <col min="25" max="25" width="1.85546875" style="843" hidden="1" customWidth="1"/>
    <col min="26" max="16384" width="15.7109375" style="1"/>
  </cols>
  <sheetData>
    <row r="1" spans="1:25" ht="35.1" customHeight="1" thickBot="1" x14ac:dyDescent="0.25">
      <c r="A1" s="1133"/>
      <c r="B1" s="1133"/>
      <c r="C1" s="1133"/>
      <c r="D1" s="1134" t="s">
        <v>240</v>
      </c>
      <c r="E1" s="1135"/>
      <c r="F1" s="1135"/>
      <c r="G1" s="1135"/>
      <c r="H1" s="1135"/>
      <c r="I1" s="1135"/>
      <c r="J1" s="1135"/>
      <c r="K1" s="1135"/>
      <c r="L1" s="1135"/>
      <c r="M1" s="1135"/>
      <c r="N1" s="1135"/>
      <c r="O1" s="1135"/>
      <c r="P1" s="1135"/>
      <c r="Q1" s="1136"/>
    </row>
    <row r="2" spans="1:25" ht="35.1" customHeight="1" thickBot="1" x14ac:dyDescent="0.25">
      <c r="A2" s="1133"/>
      <c r="B2" s="1133"/>
      <c r="C2" s="1133"/>
      <c r="D2" s="1137"/>
      <c r="E2" s="1138"/>
      <c r="F2" s="1138"/>
      <c r="G2" s="1138"/>
      <c r="H2" s="1138"/>
      <c r="I2" s="1138"/>
      <c r="J2" s="1138"/>
      <c r="K2" s="1138"/>
      <c r="L2" s="1138"/>
      <c r="M2" s="1138"/>
      <c r="N2" s="1138"/>
      <c r="O2" s="1138"/>
      <c r="P2" s="1138"/>
      <c r="Q2" s="1139"/>
    </row>
    <row r="3" spans="1:25" ht="35.1" customHeight="1" thickBot="1" x14ac:dyDescent="0.25">
      <c r="A3" s="1133"/>
      <c r="B3" s="1133"/>
      <c r="C3" s="1133"/>
      <c r="D3" s="1140"/>
      <c r="E3" s="1141"/>
      <c r="F3" s="1141"/>
      <c r="G3" s="1141"/>
      <c r="H3" s="1141"/>
      <c r="I3" s="1141"/>
      <c r="J3" s="1141"/>
      <c r="K3" s="1141"/>
      <c r="L3" s="1141"/>
      <c r="M3" s="1141"/>
      <c r="N3" s="1141"/>
      <c r="O3" s="1141"/>
      <c r="P3" s="1141"/>
      <c r="Q3" s="1142"/>
    </row>
    <row r="4" spans="1:25" s="5" customFormat="1" ht="15" customHeight="1" thickBot="1" x14ac:dyDescent="0.25">
      <c r="A4" s="2"/>
      <c r="B4" s="2"/>
      <c r="C4" s="2"/>
      <c r="D4" s="2"/>
      <c r="E4" s="2"/>
      <c r="F4" s="2"/>
      <c r="G4" s="2"/>
      <c r="H4" s="2"/>
      <c r="I4" s="2"/>
      <c r="J4" s="2"/>
      <c r="K4" s="3"/>
      <c r="L4" s="4"/>
      <c r="R4" s="844"/>
      <c r="S4" s="844"/>
      <c r="T4" s="844"/>
      <c r="U4" s="844"/>
      <c r="V4" s="844"/>
      <c r="W4" s="844"/>
      <c r="X4" s="844"/>
      <c r="Y4" s="844"/>
    </row>
    <row r="5" spans="1:25" ht="44.25" customHeight="1" thickBot="1" x14ac:dyDescent="0.25">
      <c r="B5" s="47" t="s">
        <v>6</v>
      </c>
      <c r="C5" s="48" t="s">
        <v>107</v>
      </c>
      <c r="D5" s="48" t="s">
        <v>207</v>
      </c>
      <c r="E5" s="48" t="s">
        <v>108</v>
      </c>
      <c r="F5" s="48" t="s">
        <v>71</v>
      </c>
      <c r="G5" s="49" t="s">
        <v>7</v>
      </c>
      <c r="H5" s="49" t="s">
        <v>359</v>
      </c>
      <c r="I5" s="712" t="s">
        <v>2</v>
      </c>
      <c r="J5" s="1314"/>
      <c r="L5" s="7"/>
    </row>
    <row r="6" spans="1:25" ht="60" customHeight="1" thickBot="1" x14ac:dyDescent="0.25">
      <c r="A6" s="8"/>
      <c r="B6" s="44" t="e">
        <f>VLOOKUP($J$5,'DATOS @ '!$C$7:$K$22,2,FALSE)</f>
        <v>#N/A</v>
      </c>
      <c r="C6" s="53" t="e">
        <f>VLOOKUP($J$5,'DATOS @ '!$C$7:$K$22,3,FALSE)</f>
        <v>#N/A</v>
      </c>
      <c r="D6" s="44" t="e">
        <f>VLOOKUP($J$5,'DATOS @ '!$C$7:$K$22,8,FALSE)</f>
        <v>#N/A</v>
      </c>
      <c r="E6" s="44" t="e">
        <f>VLOOKUP($J$5,'DATOS @ '!$C$7:$K$22,6,FALSE)</f>
        <v>#N/A</v>
      </c>
      <c r="F6" s="53" t="e">
        <f>VLOOKUP($J$5,'DATOS @ '!$C$7:$K$22,7,FALSE)</f>
        <v>#N/A</v>
      </c>
      <c r="G6" s="44" t="e">
        <f>VLOOKUP($J$5,'DATOS @ '!$C$7:$K$22,4,FALSE)</f>
        <v>#N/A</v>
      </c>
      <c r="H6" s="44" t="e">
        <f>VLOOKUP($J$5,'DATOS @ '!$C$7:$K$22,5,FALSE)</f>
        <v>#N/A</v>
      </c>
      <c r="I6" s="44" t="e">
        <f>VLOOKUP($J$5,'DATOS @ '!$C$7:$K$22,9,FALSE)</f>
        <v>#N/A</v>
      </c>
      <c r="J6" s="1315"/>
      <c r="L6" s="7"/>
    </row>
    <row r="7" spans="1:25" ht="9.9499999999999993" customHeight="1" thickBot="1" x14ac:dyDescent="0.25">
      <c r="B7" s="9"/>
      <c r="C7" s="10"/>
      <c r="D7" s="11"/>
      <c r="E7" s="10"/>
      <c r="F7" s="9"/>
      <c r="G7" s="12"/>
      <c r="H7" s="13"/>
      <c r="I7" s="9"/>
      <c r="J7" s="10"/>
      <c r="K7" s="10"/>
      <c r="L7" s="7"/>
    </row>
    <row r="8" spans="1:25" ht="35.1" customHeight="1" thickBot="1" x14ac:dyDescent="0.25">
      <c r="B8" s="1193" t="s">
        <v>9</v>
      </c>
      <c r="C8" s="1194"/>
      <c r="D8" s="1194"/>
      <c r="E8" s="1198"/>
      <c r="F8" s="120"/>
      <c r="G8" s="1193" t="s">
        <v>195</v>
      </c>
      <c r="H8" s="1194"/>
      <c r="I8" s="1194"/>
      <c r="J8" s="1198"/>
      <c r="K8" s="121"/>
      <c r="L8" s="249"/>
    </row>
    <row r="9" spans="1:25" ht="35.1" customHeight="1" x14ac:dyDescent="0.2">
      <c r="B9" s="1220" t="s">
        <v>3</v>
      </c>
      <c r="C9" s="1221"/>
      <c r="D9" s="193" t="e">
        <f>VLOOKUP($F$8,'DATOS @ '!$C$16:$L$22,2,FALSE)</f>
        <v>#N/A</v>
      </c>
      <c r="E9" s="194"/>
      <c r="F9" s="15"/>
      <c r="G9" s="1218" t="s">
        <v>196</v>
      </c>
      <c r="H9" s="1219"/>
      <c r="I9" s="1216" t="e">
        <f>VLOOKUP($K$8,'DATOS @ '!$B$27:$S$88,1,FALSE)</f>
        <v>#N/A</v>
      </c>
      <c r="J9" s="1217"/>
      <c r="K9" s="14"/>
      <c r="L9" s="14"/>
    </row>
    <row r="10" spans="1:25" ht="35.1" customHeight="1" x14ac:dyDescent="0.2">
      <c r="B10" s="1214" t="s">
        <v>8</v>
      </c>
      <c r="C10" s="1222"/>
      <c r="D10" s="50" t="e">
        <f>VLOOKUP($F$8,'DATOS @ '!$C$16:$L$22,3,FALSE)</f>
        <v>#N/A</v>
      </c>
      <c r="E10" s="195"/>
      <c r="F10" s="15"/>
      <c r="G10" s="1214" t="s">
        <v>3</v>
      </c>
      <c r="H10" s="1223"/>
      <c r="I10" s="1224" t="e">
        <f>VLOOKUP($K$8,'DATOS @ '!$B$27:$V$88,4,FALSE)</f>
        <v>#N/A</v>
      </c>
      <c r="J10" s="1225"/>
      <c r="L10" s="14"/>
      <c r="M10" s="16"/>
      <c r="N10" s="16"/>
      <c r="O10" s="16"/>
      <c r="P10" s="16"/>
    </row>
    <row r="11" spans="1:25" ht="35.1" customHeight="1" x14ac:dyDescent="0.2">
      <c r="B11" s="1214" t="s">
        <v>1</v>
      </c>
      <c r="C11" s="1222"/>
      <c r="D11" s="52" t="e">
        <f>VLOOKUP($F$8,'DATOS @ '!$C$16:$L$22,4,FALSE)</f>
        <v>#N/A</v>
      </c>
      <c r="E11" s="224"/>
      <c r="F11" s="15"/>
      <c r="G11" s="1154" t="s">
        <v>0</v>
      </c>
      <c r="H11" s="1155"/>
      <c r="I11" s="1224" t="e">
        <f>VLOOKUP($K$8,'DATOS @ '!$B$27:$V$88,3,FALSE)</f>
        <v>#N/A</v>
      </c>
      <c r="J11" s="1225"/>
      <c r="K11" s="14"/>
      <c r="L11" s="14"/>
      <c r="P11" s="16"/>
    </row>
    <row r="12" spans="1:25" s="16" customFormat="1" ht="35.1" customHeight="1" x14ac:dyDescent="0.2">
      <c r="B12" s="1214" t="s">
        <v>216</v>
      </c>
      <c r="C12" s="1215"/>
      <c r="D12" s="52" t="e">
        <f>VLOOKUP($F$8,'DATOS @ '!$C$16:$L$22,5,FALSE)</f>
        <v>#N/A</v>
      </c>
      <c r="E12" s="195"/>
      <c r="F12" s="17"/>
      <c r="G12" s="1214" t="s">
        <v>2</v>
      </c>
      <c r="H12" s="1223"/>
      <c r="I12" s="1226" t="e">
        <f>VLOOKUP($K$8,'DATOS @ '!$B$27:$V$88,7,FALSE)</f>
        <v>#N/A</v>
      </c>
      <c r="J12" s="1227"/>
      <c r="K12" s="10"/>
      <c r="L12" s="18"/>
      <c r="Q12" s="1"/>
      <c r="R12" s="843"/>
      <c r="S12" s="843"/>
      <c r="T12" s="843"/>
      <c r="U12" s="845"/>
      <c r="V12" s="845"/>
      <c r="W12" s="845"/>
      <c r="X12" s="845"/>
      <c r="Y12" s="845"/>
    </row>
    <row r="13" spans="1:25" s="16" customFormat="1" ht="35.1" customHeight="1" x14ac:dyDescent="0.2">
      <c r="B13" s="1230" t="s">
        <v>473</v>
      </c>
      <c r="C13" s="1231"/>
      <c r="D13" s="52" t="e">
        <f>VLOOKUP($F$8,'DATOS @ '!$C$16:$L$22,6,FALSE)</f>
        <v>#N/A</v>
      </c>
      <c r="E13" s="195"/>
      <c r="F13" s="17"/>
      <c r="G13" s="1214" t="s">
        <v>184</v>
      </c>
      <c r="H13" s="1223"/>
      <c r="I13" s="1174" t="e">
        <f>VLOOKUP($K$8,'DATOS @ '!$B$27:$V$88,8,FALSE)</f>
        <v>#N/A</v>
      </c>
      <c r="J13" s="1175"/>
      <c r="K13" s="10"/>
      <c r="L13" s="18"/>
      <c r="R13" s="845"/>
      <c r="S13" s="845"/>
      <c r="T13" s="845"/>
      <c r="U13" s="845"/>
      <c r="V13" s="845"/>
      <c r="W13" s="845"/>
      <c r="X13" s="845"/>
      <c r="Y13" s="845"/>
    </row>
    <row r="14" spans="1:25" s="16" customFormat="1" ht="35.1" customHeight="1" thickBot="1" x14ac:dyDescent="0.25">
      <c r="B14" s="1232" t="s">
        <v>208</v>
      </c>
      <c r="C14" s="1233"/>
      <c r="D14" s="51" t="e">
        <f>VLOOKUP($F$8,'DATOS @ '!$C$16:$L$22,7,FALSE)</f>
        <v>#N/A</v>
      </c>
      <c r="E14" s="195"/>
      <c r="F14" s="17"/>
      <c r="G14" s="1186" t="s">
        <v>90</v>
      </c>
      <c r="H14" s="1187"/>
      <c r="I14" s="1188" t="e">
        <f>VLOOKUP($K$8,'DATOS @ '!$B$27:$V$88,20,FALSE)</f>
        <v>#N/A</v>
      </c>
      <c r="J14" s="1189"/>
      <c r="K14" s="10"/>
      <c r="L14" s="18"/>
      <c r="R14" s="845"/>
      <c r="S14" s="845"/>
      <c r="T14" s="845"/>
      <c r="U14" s="845"/>
      <c r="V14" s="845"/>
      <c r="W14" s="845"/>
      <c r="X14" s="845"/>
      <c r="Y14" s="845"/>
    </row>
    <row r="15" spans="1:25" s="16" customFormat="1" ht="35.1" customHeight="1" thickBot="1" x14ac:dyDescent="0.25">
      <c r="B15" s="1156" t="s">
        <v>209</v>
      </c>
      <c r="C15" s="1157"/>
      <c r="D15" s="196" t="e">
        <f>VLOOKUP($F$8,'DATOS @ '!$C$16:$L$22,8,FALSE)</f>
        <v>#N/A</v>
      </c>
      <c r="E15" s="197"/>
      <c r="F15" s="17"/>
      <c r="G15" s="1161" t="s">
        <v>246</v>
      </c>
      <c r="H15" s="1162"/>
      <c r="I15" s="1163" t="e">
        <f>VLOOKUP($K$8,'DATOS @ '!$B$27:$V$88,19,FALSE)</f>
        <v>#N/A</v>
      </c>
      <c r="J15" s="1164"/>
      <c r="K15" s="10"/>
      <c r="L15" s="10"/>
      <c r="R15" s="845"/>
      <c r="S15" s="845"/>
      <c r="T15" s="845"/>
      <c r="U15" s="845"/>
      <c r="V15" s="845"/>
      <c r="W15" s="845"/>
      <c r="X15" s="845"/>
      <c r="Y15" s="845"/>
    </row>
    <row r="16" spans="1:25" s="16" customFormat="1" ht="9.9499999999999993" customHeight="1" thickBot="1" x14ac:dyDescent="0.3">
      <c r="B16" s="19"/>
      <c r="C16" s="19"/>
      <c r="D16" s="19"/>
      <c r="E16" s="19"/>
      <c r="F16" s="19"/>
      <c r="G16" s="20"/>
      <c r="H16" s="20"/>
      <c r="I16" s="21"/>
      <c r="J16" s="19"/>
      <c r="K16" s="10"/>
      <c r="L16" s="10"/>
      <c r="R16" s="845"/>
      <c r="S16" s="845"/>
      <c r="T16" s="845"/>
      <c r="U16" s="845"/>
      <c r="V16" s="845"/>
      <c r="W16" s="845"/>
      <c r="X16" s="845"/>
      <c r="Y16" s="845"/>
    </row>
    <row r="17" spans="1:25" s="16" customFormat="1" ht="35.1" customHeight="1" thickBot="1" x14ac:dyDescent="0.3">
      <c r="B17" s="1199" t="s">
        <v>10</v>
      </c>
      <c r="C17" s="1200"/>
      <c r="D17" s="1194"/>
      <c r="E17" s="1194"/>
      <c r="F17" s="1194"/>
      <c r="G17" s="1194"/>
      <c r="H17" s="1194"/>
      <c r="I17" s="1194"/>
      <c r="J17" s="1198"/>
      <c r="K17" s="10"/>
      <c r="L17" s="10"/>
      <c r="R17" s="845"/>
      <c r="S17" s="845"/>
      <c r="T17" s="845"/>
      <c r="U17" s="845"/>
      <c r="V17" s="845"/>
      <c r="W17" s="845"/>
      <c r="X17" s="845"/>
      <c r="Y17" s="845"/>
    </row>
    <row r="18" spans="1:25" s="16" customFormat="1" ht="35.1" customHeight="1" thickBot="1" x14ac:dyDescent="0.3">
      <c r="B18" s="1270" t="s">
        <v>77</v>
      </c>
      <c r="C18" s="1271"/>
      <c r="D18" s="1298"/>
      <c r="E18" s="185"/>
      <c r="F18" s="1300"/>
      <c r="G18" s="1287" t="s">
        <v>210</v>
      </c>
      <c r="H18" s="1288"/>
      <c r="I18" s="1288"/>
      <c r="J18" s="1289"/>
      <c r="K18" s="10"/>
      <c r="L18" s="10"/>
      <c r="R18" s="845"/>
      <c r="S18" s="845"/>
      <c r="T18" s="845"/>
      <c r="U18" s="845"/>
      <c r="V18" s="845"/>
      <c r="W18" s="845"/>
      <c r="X18" s="845"/>
      <c r="Y18" s="845"/>
    </row>
    <row r="19" spans="1:25" s="16" customFormat="1" ht="35.1" customHeight="1" thickBot="1" x14ac:dyDescent="0.3">
      <c r="B19" s="1272"/>
      <c r="C19" s="1273"/>
      <c r="D19" s="1299"/>
      <c r="E19" s="186"/>
      <c r="F19" s="1301"/>
      <c r="G19" s="1290" t="s">
        <v>78</v>
      </c>
      <c r="H19" s="1283" t="s">
        <v>93</v>
      </c>
      <c r="I19" s="1283" t="s">
        <v>12</v>
      </c>
      <c r="J19" s="1285" t="s">
        <v>211</v>
      </c>
      <c r="K19" s="10"/>
      <c r="L19" s="10"/>
      <c r="R19" s="845"/>
      <c r="S19" s="845"/>
      <c r="T19" s="845"/>
      <c r="U19" s="845"/>
      <c r="V19" s="845"/>
      <c r="W19" s="845"/>
      <c r="X19" s="845"/>
      <c r="Y19" s="845"/>
    </row>
    <row r="20" spans="1:25" s="16" customFormat="1" ht="35.1" customHeight="1" thickBot="1" x14ac:dyDescent="0.3">
      <c r="B20" s="1274"/>
      <c r="C20" s="1275"/>
      <c r="D20" s="1294"/>
      <c r="E20" s="1295"/>
      <c r="F20" s="1295"/>
      <c r="G20" s="1291"/>
      <c r="H20" s="1284"/>
      <c r="I20" s="1284"/>
      <c r="J20" s="1286"/>
      <c r="K20" s="10"/>
      <c r="L20" s="10"/>
      <c r="R20" s="845"/>
      <c r="S20" s="845"/>
      <c r="T20" s="845"/>
      <c r="U20" s="845"/>
      <c r="V20" s="845"/>
      <c r="W20" s="845"/>
      <c r="X20" s="845"/>
      <c r="Y20" s="845"/>
    </row>
    <row r="21" spans="1:25" s="16" customFormat="1" ht="35.1" customHeight="1" thickBot="1" x14ac:dyDescent="0.3">
      <c r="B21" s="1270" t="s">
        <v>11</v>
      </c>
      <c r="C21" s="1271"/>
      <c r="D21" s="1296"/>
      <c r="E21" s="1297"/>
      <c r="F21" s="1297"/>
      <c r="G21" s="553" t="e">
        <f>VLOOKUP($K$21,'DATOS @ '!$C$27:$V$88,8,FALSE)</f>
        <v>#N/A</v>
      </c>
      <c r="H21" s="206" t="e">
        <f>VLOOKUP($K$21,'DATOS @ '!$C$27:$V$88,14,FALSE)</f>
        <v>#N/A</v>
      </c>
      <c r="I21" s="554" t="e">
        <f>VLOOKUP($K$21,'DATOS @ '!$C$27:$V$88,16,FALSE)</f>
        <v>#N/A</v>
      </c>
      <c r="J21" s="555" t="e">
        <f>VLOOKUP($K$21,'DATOS @ '!$C$27:$V$88,5,FALSE)</f>
        <v>#N/A</v>
      </c>
      <c r="K21" s="188"/>
      <c r="L21" s="10"/>
      <c r="R21" s="845"/>
      <c r="S21" s="845"/>
      <c r="T21" s="845"/>
      <c r="U21" s="845"/>
      <c r="V21" s="845"/>
      <c r="W21" s="845"/>
      <c r="X21" s="845"/>
      <c r="Y21" s="845"/>
    </row>
    <row r="22" spans="1:25" s="16" customFormat="1" ht="35.1" customHeight="1" thickBot="1" x14ac:dyDescent="0.3">
      <c r="B22" s="1272"/>
      <c r="C22" s="1273"/>
      <c r="D22" s="122"/>
      <c r="E22" s="122"/>
      <c r="F22" s="187"/>
      <c r="G22" s="190" t="e">
        <f>VLOOKUP($K$22,'DATOS @ '!$C$27:$V$88,8,FALSE)</f>
        <v>#N/A</v>
      </c>
      <c r="H22" s="358" t="e">
        <f>VLOOKUP($K$22,'DATOS @ '!$C$27:$V$88,14,FALSE)</f>
        <v>#N/A</v>
      </c>
      <c r="I22" s="46" t="e">
        <f>VLOOKUP($K$22,'DATOS @ '!$C$27:$V$88,16,FALSE)</f>
        <v>#N/A</v>
      </c>
      <c r="J22" s="192" t="e">
        <f>VLOOKUP($K$22,'DATOS @ '!$C$27:$V$88,5,FALSE)</f>
        <v>#N/A</v>
      </c>
      <c r="K22" s="188"/>
      <c r="L22" s="10"/>
      <c r="R22" s="845"/>
      <c r="S22" s="845"/>
      <c r="T22" s="845"/>
      <c r="U22" s="845"/>
      <c r="V22" s="845"/>
      <c r="W22" s="845"/>
      <c r="X22" s="845"/>
      <c r="Y22" s="845"/>
    </row>
    <row r="23" spans="1:25" s="16" customFormat="1" ht="35.1" customHeight="1" thickBot="1" x14ac:dyDescent="0.3">
      <c r="A23" s="19"/>
      <c r="B23" s="1274"/>
      <c r="C23" s="1275"/>
      <c r="D23" s="1302"/>
      <c r="E23" s="1303"/>
      <c r="F23" s="1303"/>
      <c r="G23" s="191" t="e">
        <f>VLOOKUP($K$23,'DATOS @ '!$C$27:$V$88,8,FALSE)</f>
        <v>#N/A</v>
      </c>
      <c r="H23" s="358" t="e">
        <f>VLOOKUP($K$23,'DATOS @ '!$C$27:$V$88,14,FALSE)</f>
        <v>#N/A</v>
      </c>
      <c r="I23" s="218" t="e">
        <f>VLOOKUP($K$23,'DATOS @ '!$C$27:$V$88,16,FALSE)</f>
        <v>#N/A</v>
      </c>
      <c r="J23" s="192" t="e">
        <f>VLOOKUP($K$23,'DATOS @ '!$C$27:$V$88,5,FALSE)</f>
        <v>#N/A</v>
      </c>
      <c r="K23" s="357"/>
      <c r="L23" s="10"/>
      <c r="R23" s="845"/>
      <c r="S23" s="845"/>
      <c r="T23" s="845"/>
      <c r="U23" s="845"/>
      <c r="V23" s="845"/>
      <c r="W23" s="845"/>
      <c r="X23" s="845"/>
      <c r="Y23" s="845"/>
    </row>
    <row r="24" spans="1:25" s="16" customFormat="1" ht="35.1" customHeight="1" thickBot="1" x14ac:dyDescent="0.3">
      <c r="A24" s="19"/>
      <c r="C24" s="1304" t="s">
        <v>474</v>
      </c>
      <c r="D24" s="1305"/>
      <c r="E24" s="198"/>
      <c r="G24" s="687" t="e">
        <f>VLOOKUP($K$24,'DATOS @ '!$C$27:$V$88,8,FALSE)</f>
        <v>#N/A</v>
      </c>
      <c r="H24" s="688" t="e">
        <f>VLOOKUP($K$24,'DATOS @ '!$C$27:$V$88,14,FALSE)</f>
        <v>#N/A</v>
      </c>
      <c r="I24" s="689" t="e">
        <f>VLOOKUP($K$24,'DATOS @ '!$C$27:$V$88,16,FALSE)</f>
        <v>#N/A</v>
      </c>
      <c r="J24" s="690" t="e">
        <f>VLOOKUP($K$24,'DATOS @ '!$C$27:$V$88,5,FALSE)</f>
        <v>#N/A</v>
      </c>
      <c r="K24" s="188"/>
      <c r="L24" s="10"/>
      <c r="R24" s="845"/>
      <c r="S24" s="845"/>
      <c r="T24" s="845"/>
      <c r="U24" s="845"/>
      <c r="V24" s="845"/>
      <c r="W24" s="845"/>
      <c r="X24" s="845"/>
      <c r="Y24" s="845"/>
    </row>
    <row r="25" spans="1:25" s="16" customFormat="1" ht="35.1" customHeight="1" thickBot="1" x14ac:dyDescent="0.3">
      <c r="A25" s="22"/>
      <c r="B25" s="381" t="s">
        <v>194</v>
      </c>
      <c r="C25" s="648" t="s">
        <v>94</v>
      </c>
      <c r="D25" s="649" t="s">
        <v>52</v>
      </c>
      <c r="E25" s="644" t="s">
        <v>110</v>
      </c>
      <c r="G25" s="709" t="e">
        <f>G22+G24+B26+G23</f>
        <v>#N/A</v>
      </c>
      <c r="H25" s="710" t="e">
        <f>H22+H23+H24+C26</f>
        <v>#N/A</v>
      </c>
      <c r="I25" s="711" t="e">
        <f>I22+I23+I24+D26</f>
        <v>#N/A</v>
      </c>
      <c r="J25" s="709" t="e">
        <f>VLOOKUP($K$24,'DATOS @ '!$C$27:$V$88,5,FALSE)</f>
        <v>#N/A</v>
      </c>
      <c r="K25" s="188"/>
      <c r="R25" s="845"/>
      <c r="S25" s="845"/>
      <c r="T25" s="845"/>
      <c r="U25" s="845"/>
      <c r="V25" s="845"/>
      <c r="W25" s="845"/>
      <c r="X25" s="845"/>
      <c r="Y25" s="845"/>
    </row>
    <row r="26" spans="1:25" s="16" customFormat="1" ht="35.1" customHeight="1" thickBot="1" x14ac:dyDescent="0.3">
      <c r="A26" s="19"/>
      <c r="B26" s="645" t="e">
        <f>VLOOKUP($E$24,'DATOS @ '!$C$27:$V$88,8,FALSE)</f>
        <v>#N/A</v>
      </c>
      <c r="C26" s="646" t="e">
        <f>VLOOKUP($E$24,'DATOS @ '!$C$27:$V$88,14,FALSE)</f>
        <v>#N/A</v>
      </c>
      <c r="D26" s="646" t="e">
        <f>VLOOKUP($E$24,'DATOS @ '!$C$27:$V$88,16,FALSE)</f>
        <v>#N/A</v>
      </c>
      <c r="E26" s="647" t="e">
        <f>VLOOKUP($E$24,'DATOS @ '!$C$27:$V$88,5,FALSE)</f>
        <v>#N/A</v>
      </c>
      <c r="F26" s="23" t="s">
        <v>88</v>
      </c>
      <c r="G26" s="24">
        <f>5-2</f>
        <v>3</v>
      </c>
      <c r="H26" s="10"/>
      <c r="I26" s="189"/>
      <c r="R26" s="845"/>
      <c r="S26" s="845"/>
      <c r="T26" s="845"/>
      <c r="U26" s="845"/>
      <c r="V26" s="845"/>
      <c r="W26" s="845"/>
      <c r="X26" s="845"/>
      <c r="Y26" s="845"/>
    </row>
    <row r="27" spans="1:25" s="16" customFormat="1" ht="36" customHeight="1" thickBot="1" x14ac:dyDescent="0.3">
      <c r="A27" s="19"/>
      <c r="B27" s="1176" t="s">
        <v>217</v>
      </c>
      <c r="C27" s="1177"/>
      <c r="D27" s="1177"/>
      <c r="E27" s="1177"/>
      <c r="F27" s="1177"/>
      <c r="G27" s="1177"/>
      <c r="H27" s="1177"/>
      <c r="I27" s="1177"/>
      <c r="J27" s="1177"/>
      <c r="K27" s="1178"/>
      <c r="R27" s="845"/>
      <c r="S27" s="845"/>
      <c r="T27" s="845"/>
      <c r="U27" s="845"/>
      <c r="V27" s="845"/>
      <c r="W27" s="845"/>
      <c r="X27" s="845"/>
      <c r="Y27" s="845"/>
    </row>
    <row r="28" spans="1:25" ht="49.5" customHeight="1" x14ac:dyDescent="0.25">
      <c r="A28" s="19"/>
      <c r="B28" s="175" t="s">
        <v>3</v>
      </c>
      <c r="C28" s="176" t="e">
        <f>VLOOKUP($K$28,'DATOS @ '!$G$153:$T$166,2,FALSE)</f>
        <v>#N/A</v>
      </c>
      <c r="D28" s="177" t="s">
        <v>70</v>
      </c>
      <c r="E28" s="178" t="e">
        <f>VLOOKUP($K$28,'DATOS @ '!$G$153:$T$166,3,FALSE)</f>
        <v>#N/A</v>
      </c>
      <c r="F28" s="179" t="s">
        <v>2</v>
      </c>
      <c r="G28" s="1179" t="e">
        <f>VLOOKUP($K$28,'DATOS @ '!$G$153:$T$166,5,FALSE)</f>
        <v>#N/A</v>
      </c>
      <c r="H28" s="1180"/>
      <c r="I28" s="177" t="s">
        <v>218</v>
      </c>
      <c r="J28" s="180" t="e">
        <f>VLOOKUP($K$28,'DATOS @ '!$G$153:$T$166,4,FALSE)</f>
        <v>#N/A</v>
      </c>
      <c r="K28" s="1292"/>
    </row>
    <row r="29" spans="1:25" ht="35.1" customHeight="1" thickBot="1" x14ac:dyDescent="0.3">
      <c r="A29" s="19"/>
      <c r="B29" s="1268" t="s">
        <v>220</v>
      </c>
      <c r="C29" s="1269"/>
      <c r="D29" s="181" t="s">
        <v>5</v>
      </c>
      <c r="E29" s="182" t="e">
        <f>VLOOKUP($K$28,'DATOS @ '!$G$153:$T$166,6,FALSE)</f>
        <v>#N/A</v>
      </c>
      <c r="F29" s="1181" t="s">
        <v>435</v>
      </c>
      <c r="G29" s="1181"/>
      <c r="H29" s="182" t="e">
        <f>VLOOKUP($K$28,'DATOS @ '!$G$153:$T$166,7,FALSE)</f>
        <v>#N/A</v>
      </c>
      <c r="I29" s="183" t="s">
        <v>4</v>
      </c>
      <c r="J29" s="184" t="e">
        <f>VLOOKUP($K$28,'DATOS @ '!$G$153:$T$166,8,FALSE)</f>
        <v>#N/A</v>
      </c>
      <c r="K29" s="1293"/>
    </row>
    <row r="30" spans="1:25" ht="35.1" customHeight="1" thickBot="1" x14ac:dyDescent="0.3">
      <c r="A30" s="19"/>
      <c r="B30" s="1"/>
      <c r="C30" s="1"/>
      <c r="D30" s="1"/>
      <c r="E30" s="1"/>
      <c r="F30" s="1"/>
      <c r="G30" s="1"/>
      <c r="H30" s="1"/>
      <c r="I30" s="1"/>
      <c r="J30" s="1"/>
      <c r="K30" s="1"/>
    </row>
    <row r="31" spans="1:25" ht="35.1" customHeight="1" thickBot="1" x14ac:dyDescent="0.25">
      <c r="A31" s="25"/>
      <c r="B31" s="1193" t="s">
        <v>53</v>
      </c>
      <c r="C31" s="1194"/>
      <c r="D31" s="1194"/>
      <c r="E31" s="1194"/>
      <c r="F31" s="1194"/>
      <c r="G31" s="1194"/>
      <c r="H31" s="1194"/>
      <c r="I31" s="1198"/>
      <c r="K31" s="1182" t="s">
        <v>433</v>
      </c>
      <c r="L31" s="1183"/>
    </row>
    <row r="32" spans="1:25" ht="38.25" customHeight="1" thickBot="1" x14ac:dyDescent="0.25">
      <c r="B32" s="252" t="s">
        <v>238</v>
      </c>
      <c r="C32" s="305"/>
      <c r="D32" s="306" t="s">
        <v>5</v>
      </c>
      <c r="E32" s="307"/>
      <c r="F32" s="49" t="s">
        <v>435</v>
      </c>
      <c r="G32" s="307"/>
      <c r="H32" s="302" t="s">
        <v>4</v>
      </c>
      <c r="I32" s="308"/>
      <c r="K32" s="26" t="s">
        <v>46</v>
      </c>
      <c r="L32" s="593" t="e">
        <f>VLOOKUP($K$8,'DATOS @ '!$B$27:$V$88,21,FALSE)</f>
        <v>#N/A</v>
      </c>
    </row>
    <row r="33" spans="1:25" ht="35.1" customHeight="1" thickBot="1" x14ac:dyDescent="0.25">
      <c r="A33" s="6"/>
      <c r="B33" s="1246" t="s">
        <v>13</v>
      </c>
      <c r="C33" s="1247"/>
      <c r="D33" s="1247"/>
      <c r="E33" s="1247"/>
      <c r="F33" s="1247"/>
      <c r="G33" s="1248"/>
    </row>
    <row r="34" spans="1:25" ht="35.1" customHeight="1" thickBot="1" x14ac:dyDescent="0.25">
      <c r="A34" s="6"/>
      <c r="C34" s="301" t="s">
        <v>48</v>
      </c>
      <c r="D34" s="302" t="s">
        <v>47</v>
      </c>
      <c r="E34" s="303">
        <f>E19</f>
        <v>0</v>
      </c>
      <c r="F34" s="302" t="s">
        <v>41</v>
      </c>
      <c r="G34" s="304">
        <f>E34*1000</f>
        <v>0</v>
      </c>
    </row>
    <row r="35" spans="1:25" ht="35.1" customHeight="1" x14ac:dyDescent="0.2">
      <c r="A35" s="6"/>
      <c r="B35" s="606" t="s">
        <v>14</v>
      </c>
      <c r="C35" s="601">
        <v>1</v>
      </c>
      <c r="D35" s="170">
        <v>2</v>
      </c>
      <c r="E35" s="170">
        <v>3</v>
      </c>
      <c r="F35" s="170">
        <v>4</v>
      </c>
      <c r="G35" s="171">
        <v>5</v>
      </c>
    </row>
    <row r="36" spans="1:25" ht="35.1" customHeight="1" x14ac:dyDescent="0.2">
      <c r="A36" s="6"/>
      <c r="B36" s="607" t="s">
        <v>212</v>
      </c>
      <c r="C36" s="602"/>
      <c r="D36" s="286"/>
      <c r="E36" s="286"/>
      <c r="F36" s="286"/>
      <c r="G36" s="299"/>
    </row>
    <row r="37" spans="1:25" ht="35.1" customHeight="1" x14ac:dyDescent="0.2">
      <c r="A37" s="6"/>
      <c r="B37" s="607" t="s">
        <v>15</v>
      </c>
      <c r="C37" s="603">
        <f>$C$36-C36</f>
        <v>0</v>
      </c>
      <c r="D37" s="27">
        <f t="shared" ref="D37:G37" si="0">$C$36-D36</f>
        <v>0</v>
      </c>
      <c r="E37" s="27">
        <f t="shared" si="0"/>
        <v>0</v>
      </c>
      <c r="F37" s="27">
        <f>$C$36-F36</f>
        <v>0</v>
      </c>
      <c r="G37" s="172">
        <f t="shared" si="0"/>
        <v>0</v>
      </c>
    </row>
    <row r="38" spans="1:25" ht="35.1" customHeight="1" thickBot="1" x14ac:dyDescent="0.25">
      <c r="A38" s="6"/>
      <c r="B38" s="608" t="s">
        <v>40</v>
      </c>
      <c r="C38" s="604">
        <f>ABS(C37)</f>
        <v>0</v>
      </c>
      <c r="D38" s="173">
        <f>ABS(D37)</f>
        <v>0</v>
      </c>
      <c r="E38" s="173">
        <f t="shared" ref="E38:G38" si="1">ABS(E37)</f>
        <v>0</v>
      </c>
      <c r="F38" s="173">
        <f t="shared" si="1"/>
        <v>0</v>
      </c>
      <c r="G38" s="174">
        <f t="shared" si="1"/>
        <v>0</v>
      </c>
    </row>
    <row r="39" spans="1:25" ht="35.1" customHeight="1" thickBot="1" x14ac:dyDescent="0.3">
      <c r="A39" s="6"/>
      <c r="B39" s="300" t="s">
        <v>41</v>
      </c>
      <c r="C39" s="605">
        <f>MAX(C38:G38)*1000</f>
        <v>0</v>
      </c>
      <c r="D39" s="28"/>
      <c r="E39" s="28"/>
      <c r="F39" s="28"/>
      <c r="G39" s="28"/>
    </row>
    <row r="40" spans="1:25" ht="9.9499999999999993" customHeight="1" thickBot="1" x14ac:dyDescent="0.25">
      <c r="A40" s="6"/>
    </row>
    <row r="41" spans="1:25" ht="35.1" customHeight="1" thickBot="1" x14ac:dyDescent="0.25">
      <c r="B41" s="1193" t="s">
        <v>16</v>
      </c>
      <c r="C41" s="1194"/>
      <c r="D41" s="1194"/>
      <c r="E41" s="1194"/>
      <c r="F41" s="1194"/>
      <c r="G41" s="1194"/>
      <c r="H41" s="1194"/>
      <c r="I41" s="1194"/>
      <c r="J41" s="1194"/>
      <c r="K41" s="1198"/>
      <c r="M41" s="1169" t="s">
        <v>89</v>
      </c>
      <c r="N41" s="1170"/>
      <c r="O41" s="1171"/>
    </row>
    <row r="42" spans="1:25" s="29" customFormat="1" ht="35.1" customHeight="1" thickBot="1" x14ac:dyDescent="0.25">
      <c r="B42" s="1195" t="s">
        <v>19</v>
      </c>
      <c r="C42" s="1196"/>
      <c r="D42" s="1196"/>
      <c r="E42" s="1196"/>
      <c r="F42" s="1196"/>
      <c r="G42" s="1196"/>
      <c r="H42" s="1196"/>
      <c r="I42" s="1196"/>
      <c r="J42" s="1197"/>
      <c r="K42" s="214" t="s">
        <v>43</v>
      </c>
      <c r="M42" s="1205"/>
      <c r="N42" s="1206"/>
      <c r="O42" s="1207"/>
      <c r="R42" s="840"/>
      <c r="S42" s="840"/>
      <c r="T42" s="840"/>
      <c r="U42" s="840"/>
      <c r="V42" s="840"/>
      <c r="W42" s="840"/>
      <c r="X42" s="840"/>
      <c r="Y42" s="840"/>
    </row>
    <row r="43" spans="1:25" ht="35.1" customHeight="1" thickBot="1" x14ac:dyDescent="0.25">
      <c r="A43" s="367" t="s">
        <v>17</v>
      </c>
      <c r="B43" s="296">
        <v>1</v>
      </c>
      <c r="C43" s="297">
        <v>2</v>
      </c>
      <c r="D43" s="297">
        <v>3</v>
      </c>
      <c r="E43" s="297">
        <v>4</v>
      </c>
      <c r="F43" s="297">
        <v>5</v>
      </c>
      <c r="G43" s="297">
        <v>6</v>
      </c>
      <c r="H43" s="297">
        <v>7</v>
      </c>
      <c r="I43" s="297">
        <v>8</v>
      </c>
      <c r="J43" s="297">
        <v>9</v>
      </c>
      <c r="K43" s="298">
        <v>10</v>
      </c>
      <c r="M43" s="1208"/>
      <c r="N43" s="1209"/>
      <c r="O43" s="1210"/>
    </row>
    <row r="44" spans="1:25" ht="35.1" customHeight="1" x14ac:dyDescent="0.2">
      <c r="A44" s="368">
        <f>D22</f>
        <v>0</v>
      </c>
      <c r="B44" s="359"/>
      <c r="C44" s="361"/>
      <c r="D44" s="361"/>
      <c r="E44" s="361"/>
      <c r="F44" s="361"/>
      <c r="G44" s="361"/>
      <c r="H44" s="361"/>
      <c r="I44" s="361"/>
      <c r="J44" s="361"/>
      <c r="K44" s="362"/>
      <c r="M44" s="1208"/>
      <c r="N44" s="1209"/>
      <c r="O44" s="1210"/>
    </row>
    <row r="45" spans="1:25" ht="35.1" customHeight="1" x14ac:dyDescent="0.2">
      <c r="A45" s="368">
        <f>E22</f>
        <v>0</v>
      </c>
      <c r="B45" s="363"/>
      <c r="C45" s="360"/>
      <c r="D45" s="360"/>
      <c r="E45" s="360"/>
      <c r="F45" s="360"/>
      <c r="G45" s="360"/>
      <c r="H45" s="360"/>
      <c r="I45" s="360"/>
      <c r="J45" s="360"/>
      <c r="K45" s="364"/>
      <c r="M45" s="1208"/>
      <c r="N45" s="1209"/>
      <c r="O45" s="1210"/>
    </row>
    <row r="46" spans="1:25" ht="35.1" customHeight="1" thickBot="1" x14ac:dyDescent="0.25">
      <c r="A46" s="369">
        <f>F22</f>
        <v>0</v>
      </c>
      <c r="B46" s="371"/>
      <c r="C46" s="372"/>
      <c r="D46" s="372"/>
      <c r="E46" s="372"/>
      <c r="F46" s="366"/>
      <c r="G46" s="366"/>
      <c r="H46" s="366"/>
      <c r="I46" s="366"/>
      <c r="J46" s="366"/>
      <c r="K46" s="370"/>
      <c r="M46" s="1208"/>
      <c r="N46" s="1209"/>
      <c r="O46" s="1210"/>
    </row>
    <row r="47" spans="1:25" ht="35.1" customHeight="1" thickBot="1" x14ac:dyDescent="0.25">
      <c r="B47" s="367" t="s">
        <v>17</v>
      </c>
      <c r="C47" s="381" t="s">
        <v>18</v>
      </c>
      <c r="D47" s="199" t="s">
        <v>56</v>
      </c>
      <c r="E47" s="382" t="s">
        <v>55</v>
      </c>
      <c r="F47" s="683" t="s">
        <v>213</v>
      </c>
      <c r="H47" s="1"/>
      <c r="J47" s="1"/>
      <c r="K47" s="30"/>
      <c r="M47" s="1208"/>
      <c r="N47" s="1209"/>
      <c r="O47" s="1210"/>
    </row>
    <row r="48" spans="1:25" ht="35.1" customHeight="1" thickBot="1" x14ac:dyDescent="0.25">
      <c r="B48" s="376">
        <f>A44</f>
        <v>0</v>
      </c>
      <c r="C48" s="378" t="e">
        <f>AVERAGE(B44:K44)</f>
        <v>#DIV/0!</v>
      </c>
      <c r="D48" s="379" t="e">
        <f>_xlfn.STDEV.S(B44:K44)</f>
        <v>#DIV/0!</v>
      </c>
      <c r="E48" s="380" t="e">
        <f>D48*1000</f>
        <v>#DIV/0!</v>
      </c>
      <c r="F48" s="542" t="e">
        <f>MAX(E48:E50)</f>
        <v>#DIV/0!</v>
      </c>
      <c r="H48" s="1"/>
      <c r="I48" s="1"/>
      <c r="J48" s="7"/>
      <c r="K48" s="1"/>
      <c r="M48" s="1208"/>
      <c r="N48" s="1209"/>
      <c r="O48" s="1210"/>
    </row>
    <row r="49" spans="1:15" ht="35.1" customHeight="1" thickBot="1" x14ac:dyDescent="0.25">
      <c r="B49" s="376">
        <f>A45</f>
        <v>0</v>
      </c>
      <c r="C49" s="374" t="e">
        <f t="shared" ref="C49:C50" si="2">AVERAGE(B45:K45)</f>
        <v>#DIV/0!</v>
      </c>
      <c r="D49" s="218" t="e">
        <f t="shared" ref="D49:D50" si="3">_xlfn.STDEV.S(B45:K45)</f>
        <v>#DIV/0!</v>
      </c>
      <c r="E49" s="373" t="e">
        <f>D49*1000</f>
        <v>#DIV/0!</v>
      </c>
      <c r="F49" s="7"/>
      <c r="H49" s="1"/>
      <c r="I49" s="1"/>
      <c r="J49" s="7"/>
      <c r="K49" s="1"/>
      <c r="M49" s="1211"/>
      <c r="N49" s="1212"/>
      <c r="O49" s="1213"/>
    </row>
    <row r="50" spans="1:15" ht="35.1" customHeight="1" thickBot="1" x14ac:dyDescent="0.25">
      <c r="A50" s="6"/>
      <c r="B50" s="377">
        <f>A46</f>
        <v>0</v>
      </c>
      <c r="C50" s="375" t="e">
        <f t="shared" si="2"/>
        <v>#DIV/0!</v>
      </c>
      <c r="D50" s="168" t="e">
        <f t="shared" si="3"/>
        <v>#DIV/0!</v>
      </c>
      <c r="E50" s="169" t="e">
        <f t="shared" ref="E50" si="4">D50*1000</f>
        <v>#DIV/0!</v>
      </c>
      <c r="F50" s="7"/>
      <c r="H50" s="1"/>
      <c r="I50" s="7"/>
      <c r="J50" s="7"/>
      <c r="K50" s="7"/>
    </row>
    <row r="51" spans="1:15" ht="29.25" customHeight="1" thickBot="1" x14ac:dyDescent="0.25">
      <c r="A51" s="6"/>
      <c r="B51" s="1"/>
      <c r="C51" s="1"/>
      <c r="D51" s="1"/>
      <c r="E51" s="1"/>
      <c r="F51" s="1"/>
      <c r="G51" s="1"/>
      <c r="H51" s="1"/>
      <c r="I51" s="7"/>
      <c r="J51" s="7"/>
      <c r="K51" s="7"/>
    </row>
    <row r="52" spans="1:15" ht="35.1" customHeight="1" thickBot="1" x14ac:dyDescent="0.25">
      <c r="A52" s="6"/>
      <c r="B52" s="1193" t="s">
        <v>22</v>
      </c>
      <c r="C52" s="1194"/>
      <c r="D52" s="1194"/>
      <c r="E52" s="1194"/>
      <c r="F52" s="1194"/>
      <c r="G52" s="1194"/>
      <c r="H52" s="1194"/>
      <c r="I52" s="1194"/>
      <c r="J52" s="1194"/>
      <c r="K52" s="1194"/>
      <c r="L52" s="1198"/>
      <c r="N52" s="1131"/>
      <c r="O52" s="1132"/>
    </row>
    <row r="53" spans="1:15" ht="35.1" customHeight="1" thickBot="1" x14ac:dyDescent="0.25">
      <c r="B53" s="1193" t="s">
        <v>85</v>
      </c>
      <c r="C53" s="1194"/>
      <c r="D53" s="1194"/>
      <c r="E53" s="1198"/>
      <c r="F53" s="32"/>
      <c r="G53" s="1193" t="s">
        <v>264</v>
      </c>
      <c r="H53" s="1194"/>
      <c r="I53" s="1194"/>
      <c r="J53" s="1194"/>
      <c r="K53" s="1194"/>
      <c r="L53" s="1198"/>
    </row>
    <row r="54" spans="1:15" ht="46.5" customHeight="1" thickBot="1" x14ac:dyDescent="0.25">
      <c r="A54" s="6"/>
      <c r="B54" s="309" t="s">
        <v>276</v>
      </c>
      <c r="C54" s="202" t="s">
        <v>104</v>
      </c>
      <c r="D54" s="200" t="s">
        <v>30</v>
      </c>
      <c r="E54" s="201" t="s">
        <v>30</v>
      </c>
      <c r="F54" s="32"/>
      <c r="G54" s="384" t="s">
        <v>104</v>
      </c>
      <c r="H54" s="385" t="s">
        <v>214</v>
      </c>
      <c r="I54" s="385"/>
      <c r="J54" s="385"/>
      <c r="K54" s="669" t="s">
        <v>30</v>
      </c>
      <c r="L54" s="668" t="s">
        <v>30</v>
      </c>
      <c r="N54" s="1169" t="s">
        <v>241</v>
      </c>
      <c r="O54" s="1171"/>
    </row>
    <row r="55" spans="1:15" ht="35.1" customHeight="1" thickBot="1" x14ac:dyDescent="0.25">
      <c r="A55" s="6"/>
      <c r="B55" s="288" t="e">
        <f>H21</f>
        <v>#N/A</v>
      </c>
      <c r="C55" s="291"/>
      <c r="D55" s="289" t="e">
        <f>C55-B55</f>
        <v>#N/A</v>
      </c>
      <c r="E55" s="290" t="e">
        <f>D55*1000</f>
        <v>#N/A</v>
      </c>
      <c r="F55" s="32"/>
      <c r="G55" s="291"/>
      <c r="H55" s="292"/>
      <c r="I55" s="206" t="e">
        <f>AVERAGE(G55:H55)</f>
        <v>#DIV/0!</v>
      </c>
      <c r="J55" s="293" t="e">
        <f>I55*1000</f>
        <v>#DIV/0!</v>
      </c>
      <c r="K55" s="661" t="e">
        <f>I55-B55</f>
        <v>#DIV/0!</v>
      </c>
      <c r="L55" s="664" t="e">
        <f>K55*1000</f>
        <v>#DIV/0!</v>
      </c>
      <c r="N55" s="57" t="e">
        <f>VLOOKUP($N$52,'DATOS @ '!$A$156:$B$159,2,FALSE)</f>
        <v>#N/A</v>
      </c>
      <c r="O55" s="45"/>
    </row>
    <row r="56" spans="1:15" ht="35.1" customHeight="1" x14ac:dyDescent="0.2">
      <c r="A56" s="6"/>
      <c r="B56" s="203" t="e">
        <f>H22</f>
        <v>#N/A</v>
      </c>
      <c r="C56" s="363"/>
      <c r="D56" s="33" t="e">
        <f t="shared" ref="D56:D59" si="5">C56-B56</f>
        <v>#N/A</v>
      </c>
      <c r="E56" s="166" t="e">
        <f t="shared" ref="E56:E59" si="6">D56*1000</f>
        <v>#N/A</v>
      </c>
      <c r="F56" s="32"/>
      <c r="G56" s="363"/>
      <c r="H56" s="360"/>
      <c r="I56" s="251" t="e">
        <f>AVERAGE(G56:H56)</f>
        <v>#DIV/0!</v>
      </c>
      <c r="J56" s="287" t="e">
        <f>I56*1000</f>
        <v>#DIV/0!</v>
      </c>
      <c r="K56" s="662" t="e">
        <f>I56-B56</f>
        <v>#DIV/0!</v>
      </c>
      <c r="L56" s="665" t="e">
        <f t="shared" ref="L56:L59" si="7">K56*1000</f>
        <v>#DIV/0!</v>
      </c>
    </row>
    <row r="57" spans="1:15" ht="35.1" customHeight="1" x14ac:dyDescent="0.2">
      <c r="A57" s="6"/>
      <c r="B57" s="203" t="e">
        <f>H23</f>
        <v>#N/A</v>
      </c>
      <c r="C57" s="383"/>
      <c r="D57" s="33" t="e">
        <f t="shared" si="5"/>
        <v>#N/A</v>
      </c>
      <c r="E57" s="166" t="e">
        <f t="shared" si="6"/>
        <v>#N/A</v>
      </c>
      <c r="F57" s="32"/>
      <c r="G57" s="363"/>
      <c r="H57" s="360"/>
      <c r="I57" s="251" t="e">
        <f>AVERAGE(G57:H57)</f>
        <v>#DIV/0!</v>
      </c>
      <c r="J57" s="287" t="e">
        <f t="shared" ref="J57:J59" si="8">I57*1000</f>
        <v>#DIV/0!</v>
      </c>
      <c r="K57" s="662" t="e">
        <f>I57-B57</f>
        <v>#DIV/0!</v>
      </c>
      <c r="L57" s="666" t="e">
        <f t="shared" si="7"/>
        <v>#DIV/0!</v>
      </c>
    </row>
    <row r="58" spans="1:15" ht="35.1" customHeight="1" x14ac:dyDescent="0.2">
      <c r="A58" s="6"/>
      <c r="B58" s="203" t="e">
        <f>H24</f>
        <v>#N/A</v>
      </c>
      <c r="C58" s="363"/>
      <c r="D58" s="33" t="e">
        <f t="shared" si="5"/>
        <v>#N/A</v>
      </c>
      <c r="E58" s="166" t="e">
        <f t="shared" si="6"/>
        <v>#N/A</v>
      </c>
      <c r="F58" s="32"/>
      <c r="G58" s="363"/>
      <c r="H58" s="360"/>
      <c r="I58" s="251" t="e">
        <f>AVERAGE(G58:H58)</f>
        <v>#DIV/0!</v>
      </c>
      <c r="J58" s="287" t="e">
        <f t="shared" si="8"/>
        <v>#DIV/0!</v>
      </c>
      <c r="K58" s="662" t="e">
        <f>I58-B58</f>
        <v>#DIV/0!</v>
      </c>
      <c r="L58" s="666" t="e">
        <f t="shared" si="7"/>
        <v>#DIV/0!</v>
      </c>
    </row>
    <row r="59" spans="1:15" ht="35.1" customHeight="1" thickBot="1" x14ac:dyDescent="0.25">
      <c r="A59" s="6"/>
      <c r="B59" s="204" t="e">
        <f>H25</f>
        <v>#N/A</v>
      </c>
      <c r="C59" s="365"/>
      <c r="D59" s="165" t="e">
        <f t="shared" si="5"/>
        <v>#N/A</v>
      </c>
      <c r="E59" s="167" t="e">
        <f t="shared" si="6"/>
        <v>#N/A</v>
      </c>
      <c r="F59" s="32"/>
      <c r="G59" s="365"/>
      <c r="H59" s="366"/>
      <c r="I59" s="294" t="e">
        <f t="shared" ref="I59" si="9">AVERAGE(G59:H59)</f>
        <v>#DIV/0!</v>
      </c>
      <c r="J59" s="295" t="e">
        <f t="shared" si="8"/>
        <v>#DIV/0!</v>
      </c>
      <c r="K59" s="663" t="e">
        <f>I59-B59</f>
        <v>#DIV/0!</v>
      </c>
      <c r="L59" s="667" t="e">
        <f t="shared" si="7"/>
        <v>#DIV/0!</v>
      </c>
    </row>
    <row r="60" spans="1:15" ht="9.9499999999999993" customHeight="1" thickBot="1" x14ac:dyDescent="0.25">
      <c r="A60" s="6"/>
      <c r="L60" s="6"/>
    </row>
    <row r="61" spans="1:15" ht="35.1" customHeight="1" thickBot="1" x14ac:dyDescent="0.25">
      <c r="A61" s="34"/>
      <c r="B61" s="1199" t="s">
        <v>54</v>
      </c>
      <c r="C61" s="1200"/>
      <c r="D61" s="1200"/>
      <c r="E61" s="1200"/>
      <c r="F61" s="1200"/>
      <c r="G61" s="1200"/>
      <c r="H61" s="1200"/>
      <c r="I61" s="1201"/>
      <c r="K61" s="1"/>
    </row>
    <row r="62" spans="1:15" ht="35.1" customHeight="1" thickBot="1" x14ac:dyDescent="0.25">
      <c r="A62" s="34"/>
      <c r="B62" s="231" t="s">
        <v>237</v>
      </c>
      <c r="C62" s="123"/>
      <c r="D62" s="55" t="s">
        <v>5</v>
      </c>
      <c r="E62" s="124"/>
      <c r="F62" s="55" t="s">
        <v>435</v>
      </c>
      <c r="G62" s="125"/>
      <c r="H62" s="56" t="s">
        <v>4</v>
      </c>
      <c r="I62" s="126"/>
      <c r="K62" s="1"/>
    </row>
    <row r="63" spans="1:15" ht="35.1" customHeight="1" thickBot="1" x14ac:dyDescent="0.25">
      <c r="A63" s="54"/>
      <c r="B63" s="54"/>
      <c r="C63" s="54"/>
      <c r="D63" s="54"/>
      <c r="E63" s="54"/>
      <c r="F63" s="54"/>
      <c r="G63" s="54"/>
      <c r="H63" s="54"/>
      <c r="I63" s="54"/>
      <c r="J63" s="54"/>
      <c r="K63" s="1"/>
    </row>
    <row r="64" spans="1:15" ht="54" customHeight="1" thickBot="1" x14ac:dyDescent="0.25">
      <c r="A64" s="54"/>
      <c r="B64" s="1167" t="s">
        <v>410</v>
      </c>
      <c r="C64" s="1168"/>
      <c r="D64" s="55" t="s">
        <v>5</v>
      </c>
      <c r="E64" s="59" t="e">
        <f>E32+(VLOOKUP(K28,'DATOS @ '!G153:T166,9,FALSE))*E32+(VLOOKUP(K28,'DATOS @ '!G153:T166,10,FALSE))</f>
        <v>#N/A</v>
      </c>
      <c r="F64" s="55" t="s">
        <v>435</v>
      </c>
      <c r="G64" s="59" t="e">
        <f>G32+(VLOOKUP(K28,'DATOS @ '!G153:T166,11,FALSE))*G32+(VLOOKUP(K28,'DATOS @ '!G153:T166,12,FALSE))</f>
        <v>#N/A</v>
      </c>
      <c r="H64" s="56" t="s">
        <v>4</v>
      </c>
      <c r="I64" s="59" t="e">
        <f>I32+(VLOOKUP(K28,'DATOS @ '!G153:T166,13,FALSE))*I32+(VLOOKUP(K28,'DATOS @ '!G153:T166,14,FALSE))</f>
        <v>#N/A</v>
      </c>
      <c r="K64" s="1"/>
    </row>
    <row r="65" spans="1:25" ht="48.75" customHeight="1" thickBot="1" x14ac:dyDescent="0.25">
      <c r="A65" s="54"/>
      <c r="B65" s="1167" t="s">
        <v>409</v>
      </c>
      <c r="C65" s="1168"/>
      <c r="D65" s="55" t="s">
        <v>5</v>
      </c>
      <c r="E65" s="59" t="e">
        <f>E62+(VLOOKUP(K28,'DATOS @ '!G153:T166,9,FALSE))*E62+(VLOOKUP(K28,'DATOS @ '!G153:T166,10,FALSE))</f>
        <v>#N/A</v>
      </c>
      <c r="F65" s="55" t="s">
        <v>435</v>
      </c>
      <c r="G65" s="233" t="e">
        <f>G62+(VLOOKUP(K28,'DATOS @ '!G153:T166,11,FALSE))*G62+(VLOOKUP(K28,'DATOS @ '!G153:T166,12,FALSE))</f>
        <v>#N/A</v>
      </c>
      <c r="H65" s="56" t="s">
        <v>4</v>
      </c>
      <c r="I65" s="59" t="e">
        <f>I62+(VLOOKUP(K28,'DATOS @ '!G153:T166,13,FALSE))*I62+(VLOOKUP(K28,'DATOS @ '!G153:T166,14,FALSE))</f>
        <v>#N/A</v>
      </c>
      <c r="K65" s="1"/>
    </row>
    <row r="66" spans="1:25" ht="21.75" customHeight="1" thickBot="1" x14ac:dyDescent="0.25">
      <c r="B66" s="1"/>
      <c r="C66" s="1"/>
      <c r="D66" s="1"/>
      <c r="E66" s="1"/>
      <c r="F66" s="1"/>
      <c r="G66" s="1"/>
      <c r="H66" s="1"/>
      <c r="I66" s="1"/>
      <c r="J66" s="1"/>
      <c r="K66" s="1"/>
    </row>
    <row r="67" spans="1:25" ht="35.1" customHeight="1" thickBot="1" x14ac:dyDescent="0.25">
      <c r="A67" s="1193" t="s">
        <v>29</v>
      </c>
      <c r="B67" s="1194"/>
      <c r="C67" s="1194"/>
      <c r="D67" s="1194"/>
      <c r="E67" s="1194"/>
      <c r="F67" s="1194"/>
      <c r="G67" s="1194"/>
      <c r="H67" s="1194"/>
      <c r="I67" s="1194"/>
      <c r="J67" s="1194"/>
      <c r="K67" s="1194"/>
      <c r="L67" s="1198"/>
    </row>
    <row r="68" spans="1:25" s="29" customFormat="1" ht="9.9499999999999993" customHeight="1" thickBot="1" x14ac:dyDescent="0.25">
      <c r="R68" s="840"/>
      <c r="S68" s="840"/>
      <c r="T68" s="840"/>
      <c r="U68" s="840"/>
      <c r="V68" s="840"/>
      <c r="W68" s="840"/>
      <c r="X68" s="840"/>
      <c r="Y68" s="840"/>
    </row>
    <row r="69" spans="1:25" ht="35.1" customHeight="1" thickBot="1" x14ac:dyDescent="0.25">
      <c r="B69" s="1"/>
      <c r="C69" s="1"/>
      <c r="D69" s="1"/>
      <c r="E69" s="1"/>
      <c r="F69" s="1158" t="s">
        <v>25</v>
      </c>
      <c r="G69" s="1172"/>
      <c r="H69" s="1172"/>
      <c r="I69" s="1172"/>
      <c r="J69" s="1173"/>
      <c r="K69" s="1"/>
    </row>
    <row r="70" spans="1:25" s="7" customFormat="1" ht="35.1" customHeight="1" thickBot="1" x14ac:dyDescent="0.25">
      <c r="D70" s="35"/>
      <c r="F70" s="221" t="e">
        <f>G21</f>
        <v>#N/A</v>
      </c>
      <c r="G70" s="222" t="e">
        <f>G22</f>
        <v>#N/A</v>
      </c>
      <c r="H70" s="222" t="e">
        <f>G23</f>
        <v>#N/A</v>
      </c>
      <c r="I70" s="222" t="e">
        <f>G24</f>
        <v>#N/A</v>
      </c>
      <c r="J70" s="223" t="e">
        <f>G25</f>
        <v>#N/A</v>
      </c>
      <c r="K70" s="1"/>
      <c r="L70" s="1"/>
      <c r="M70" s="1"/>
      <c r="N70" s="1"/>
      <c r="O70" s="1"/>
      <c r="R70" s="840"/>
      <c r="S70" s="840"/>
      <c r="T70" s="840"/>
      <c r="U70" s="840"/>
      <c r="V70" s="840"/>
      <c r="W70" s="840"/>
      <c r="X70" s="840"/>
      <c r="Y70" s="840"/>
    </row>
    <row r="71" spans="1:25" s="29" customFormat="1" ht="9.9499999999999993" customHeight="1" thickBot="1" x14ac:dyDescent="0.25">
      <c r="L71" s="1"/>
      <c r="M71" s="1"/>
      <c r="N71" s="1"/>
      <c r="O71" s="1"/>
      <c r="R71" s="840"/>
      <c r="S71" s="840"/>
      <c r="T71" s="840"/>
      <c r="U71" s="840"/>
      <c r="V71" s="840"/>
      <c r="W71" s="840"/>
      <c r="X71" s="840"/>
      <c r="Y71" s="840"/>
    </row>
    <row r="72" spans="1:25" ht="70.5" customHeight="1" thickBot="1" x14ac:dyDescent="0.25">
      <c r="A72" s="1169" t="s">
        <v>28</v>
      </c>
      <c r="B72" s="1170"/>
      <c r="C72" s="1170"/>
      <c r="D72" s="1170"/>
      <c r="E72" s="1171"/>
      <c r="F72" s="1193" t="s">
        <v>42</v>
      </c>
      <c r="G72" s="1194"/>
      <c r="H72" s="1194"/>
      <c r="I72" s="1194"/>
      <c r="J72" s="1194"/>
      <c r="K72" s="640" t="s">
        <v>24</v>
      </c>
      <c r="L72" s="641" t="s">
        <v>365</v>
      </c>
      <c r="M72" s="706" t="s">
        <v>418</v>
      </c>
    </row>
    <row r="73" spans="1:25" ht="35.1" customHeight="1" thickBot="1" x14ac:dyDescent="0.25">
      <c r="A73" s="1165" t="s">
        <v>20</v>
      </c>
      <c r="B73" s="1166"/>
      <c r="C73" s="499"/>
      <c r="D73" s="500"/>
      <c r="E73" s="502"/>
      <c r="F73" s="713" t="e">
        <f>((F70*1000)*$C$39)/(2*$G$34*SQRT(3))</f>
        <v>#N/A</v>
      </c>
      <c r="G73" s="713" t="e">
        <f>((G70*1000)*$C$39)/(2*$G$34*SQRT(3))</f>
        <v>#N/A</v>
      </c>
      <c r="H73" s="713" t="e">
        <f>((H70*1000)*$C$39)/(2*$G$34*SQRT(3))</f>
        <v>#N/A</v>
      </c>
      <c r="I73" s="713" t="e">
        <f>((I70*1000)*$C$39)/(2*$G$34*SQRT(3))</f>
        <v>#N/A</v>
      </c>
      <c r="J73" s="713" t="e">
        <f>((J70*1000)*$C$39)/(2*$G$34*SQRT(3))</f>
        <v>#N/A</v>
      </c>
      <c r="K73" s="460" t="s">
        <v>44</v>
      </c>
      <c r="L73" s="635">
        <v>100</v>
      </c>
      <c r="M73" s="714" t="e">
        <f>(J73/$J$84)^2</f>
        <v>#N/A</v>
      </c>
    </row>
    <row r="74" spans="1:25" ht="35.1" customHeight="1" thickBot="1" x14ac:dyDescent="0.25">
      <c r="A74" s="1167" t="s">
        <v>21</v>
      </c>
      <c r="B74" s="1168"/>
      <c r="C74" s="503"/>
      <c r="D74" s="501"/>
      <c r="E74" s="504"/>
      <c r="F74" s="164" t="e">
        <f>$F$48</f>
        <v>#DIV/0!</v>
      </c>
      <c r="G74" s="36" t="e">
        <f>$F$48</f>
        <v>#DIV/0!</v>
      </c>
      <c r="H74" s="36" t="e">
        <f>$F$48</f>
        <v>#DIV/0!</v>
      </c>
      <c r="I74" s="36" t="e">
        <f>$F$48</f>
        <v>#DIV/0!</v>
      </c>
      <c r="J74" s="36" t="e">
        <f>$F$48</f>
        <v>#DIV/0!</v>
      </c>
      <c r="K74" s="461" t="s">
        <v>45</v>
      </c>
      <c r="L74" s="630">
        <f>K43-1</f>
        <v>9</v>
      </c>
      <c r="M74" s="715" t="e">
        <f>(J74/$J$84)^2</f>
        <v>#DIV/0!</v>
      </c>
    </row>
    <row r="75" spans="1:25" ht="35.1" customHeight="1" thickBot="1" x14ac:dyDescent="0.25">
      <c r="A75" s="1327" t="s">
        <v>364</v>
      </c>
      <c r="B75" s="1328"/>
      <c r="C75" s="612"/>
      <c r="D75" s="613"/>
      <c r="E75" s="614"/>
      <c r="F75" s="164" t="e">
        <f t="shared" ref="F75:J76" si="10">($D$14*1000)/SQRT(12)</f>
        <v>#N/A</v>
      </c>
      <c r="G75" s="36" t="e">
        <f t="shared" si="10"/>
        <v>#N/A</v>
      </c>
      <c r="H75" s="36" t="e">
        <f t="shared" si="10"/>
        <v>#N/A</v>
      </c>
      <c r="I75" s="36" t="e">
        <f t="shared" si="10"/>
        <v>#N/A</v>
      </c>
      <c r="J75" s="36" t="e">
        <f t="shared" si="10"/>
        <v>#N/A</v>
      </c>
      <c r="K75" s="461" t="s">
        <v>44</v>
      </c>
      <c r="L75" s="630">
        <v>100</v>
      </c>
      <c r="M75" s="715" t="e">
        <f>(J75/$J$84)^2</f>
        <v>#N/A</v>
      </c>
      <c r="N75" s="505"/>
    </row>
    <row r="76" spans="1:25" ht="35.1" customHeight="1" thickBot="1" x14ac:dyDescent="0.25">
      <c r="A76" s="1325" t="s">
        <v>366</v>
      </c>
      <c r="B76" s="1326"/>
      <c r="C76" s="612"/>
      <c r="D76" s="613"/>
      <c r="E76" s="614"/>
      <c r="F76" s="636" t="e">
        <f t="shared" si="10"/>
        <v>#N/A</v>
      </c>
      <c r="G76" s="637" t="e">
        <f t="shared" si="10"/>
        <v>#N/A</v>
      </c>
      <c r="H76" s="637" t="e">
        <f t="shared" si="10"/>
        <v>#N/A</v>
      </c>
      <c r="I76" s="637" t="e">
        <f t="shared" si="10"/>
        <v>#N/A</v>
      </c>
      <c r="J76" s="637" t="e">
        <f t="shared" si="10"/>
        <v>#N/A</v>
      </c>
      <c r="K76" s="638" t="s">
        <v>44</v>
      </c>
      <c r="L76" s="639">
        <v>100</v>
      </c>
      <c r="M76" s="716" t="e">
        <f t="shared" ref="M76" si="11">(J76/$J$84)^2</f>
        <v>#N/A</v>
      </c>
    </row>
    <row r="77" spans="1:25" ht="35.1" customHeight="1" thickBot="1" x14ac:dyDescent="0.25">
      <c r="A77" s="32"/>
      <c r="B77" s="32"/>
      <c r="C77" s="615"/>
      <c r="D77" s="616"/>
      <c r="E77" s="617"/>
      <c r="F77" s="631" t="e">
        <f>SQRT((F73)^2+(F74)^2+(F75)^2+(F76)^2)</f>
        <v>#N/A</v>
      </c>
      <c r="G77" s="632" t="e">
        <f t="shared" ref="G77:J77" si="12">SQRT((G73)^2+(G74)^2+(G75)^2+(G76)^2)</f>
        <v>#N/A</v>
      </c>
      <c r="H77" s="632" t="e">
        <f t="shared" si="12"/>
        <v>#N/A</v>
      </c>
      <c r="I77" s="632" t="e">
        <f t="shared" si="12"/>
        <v>#N/A</v>
      </c>
      <c r="J77" s="633" t="e">
        <f t="shared" si="12"/>
        <v>#N/A</v>
      </c>
      <c r="K77" s="634" t="s">
        <v>45</v>
      </c>
      <c r="M77" s="629"/>
    </row>
    <row r="78" spans="1:25" ht="34.5" customHeight="1" thickBot="1" x14ac:dyDescent="0.25">
      <c r="A78" s="32"/>
      <c r="B78" s="32"/>
      <c r="C78" s="32"/>
      <c r="D78" s="32"/>
      <c r="F78" s="1202" t="s">
        <v>252</v>
      </c>
      <c r="G78" s="1203"/>
      <c r="H78" s="1203"/>
      <c r="I78" s="1203"/>
      <c r="J78" s="1204"/>
      <c r="K78" s="1"/>
      <c r="M78" s="629"/>
    </row>
    <row r="79" spans="1:25" ht="35.1" customHeight="1" thickBot="1" x14ac:dyDescent="0.25">
      <c r="A79" s="1167" t="s">
        <v>23</v>
      </c>
      <c r="B79" s="1168"/>
      <c r="C79" s="1260"/>
      <c r="D79" s="1261"/>
      <c r="E79" s="1262"/>
      <c r="F79" s="161" t="e">
        <f>I21/L32</f>
        <v>#N/A</v>
      </c>
      <c r="G79" s="162" t="e">
        <f>I22/L32</f>
        <v>#N/A</v>
      </c>
      <c r="H79" s="162" t="e">
        <f>I23/L32</f>
        <v>#N/A</v>
      </c>
      <c r="I79" s="162" t="e">
        <f>I24/L32</f>
        <v>#N/A</v>
      </c>
      <c r="J79" s="162" t="e">
        <f>I25/L32</f>
        <v>#N/A</v>
      </c>
      <c r="K79" s="456" t="s">
        <v>45</v>
      </c>
      <c r="L79" s="635">
        <v>100</v>
      </c>
      <c r="M79" s="714" t="e">
        <f>+(J79/$J$84)^2</f>
        <v>#N/A</v>
      </c>
    </row>
    <row r="80" spans="1:25" ht="35.1" customHeight="1" x14ac:dyDescent="0.2">
      <c r="A80" s="1258" t="s">
        <v>381</v>
      </c>
      <c r="B80" s="1259"/>
      <c r="C80" s="1190"/>
      <c r="D80" s="1191"/>
      <c r="E80" s="1192"/>
      <c r="F80" s="163" t="e">
        <f>(3*I21)/(4*SQRT(3))</f>
        <v>#N/A</v>
      </c>
      <c r="G80" s="37" t="e">
        <f>(3*I22)/(4*SQRT(3))</f>
        <v>#N/A</v>
      </c>
      <c r="H80" s="37" t="e">
        <f>(3*I23)/(4*SQRT(3))</f>
        <v>#N/A</v>
      </c>
      <c r="I80" s="37" t="e">
        <f>(3*I24)/(4*SQRT(3))</f>
        <v>#N/A</v>
      </c>
      <c r="J80" s="37" t="e">
        <f>(3*I25)/(4*SQRT(3))</f>
        <v>#N/A</v>
      </c>
      <c r="K80" s="31" t="s">
        <v>44</v>
      </c>
      <c r="L80" s="630">
        <v>100</v>
      </c>
      <c r="M80" s="715" t="e">
        <f t="shared" ref="M80:M81" si="13">+(J80/$J$84)^2</f>
        <v>#N/A</v>
      </c>
    </row>
    <row r="81" spans="1:25" ht="35.1" customHeight="1" thickBot="1" x14ac:dyDescent="0.25">
      <c r="A81" s="1255" t="s">
        <v>382</v>
      </c>
      <c r="B81" s="1256"/>
      <c r="C81" s="1249"/>
      <c r="D81" s="1250"/>
      <c r="E81" s="1251"/>
      <c r="F81" s="717" t="e">
        <f>VLOOKUP($K$21,'DATOS @ '!$C$27:$V$88,15,FALSE)</f>
        <v>#N/A</v>
      </c>
      <c r="G81" s="718" t="e">
        <f>VLOOKUP($K$22,'DATOS @ '!$C$27:$V$88,15,FALSE)</f>
        <v>#N/A</v>
      </c>
      <c r="H81" s="718" t="e">
        <f>VLOOKUP($K$23,'DATOS @ '!$C$27:$V$88,15,FALSE)</f>
        <v>#N/A</v>
      </c>
      <c r="I81" s="718" t="e">
        <f>VLOOKUP($K$24,'DATOS @ '!$C$27:$V$88,15,FALSE)</f>
        <v>#N/A</v>
      </c>
      <c r="J81" s="718" t="e">
        <f>VLOOKUP($K$25,'DATOS @ '!$C$27:$V$88,15,FALSE)</f>
        <v>#N/A</v>
      </c>
      <c r="K81" s="719" t="s">
        <v>44</v>
      </c>
      <c r="L81" s="639">
        <v>100</v>
      </c>
      <c r="M81" s="716" t="e">
        <f t="shared" si="13"/>
        <v>#N/A</v>
      </c>
    </row>
    <row r="82" spans="1:25" ht="35.1" customHeight="1" thickBot="1" x14ac:dyDescent="0.25">
      <c r="C82" s="1252"/>
      <c r="D82" s="1253"/>
      <c r="E82" s="1254"/>
      <c r="F82" s="655" t="e">
        <f>SQRT(F79^2+F80^2+F81^2)</f>
        <v>#N/A</v>
      </c>
      <c r="G82" s="656" t="e">
        <f t="shared" ref="G82:J82" si="14">SQRT(G79^2+G80^2+G81^2)</f>
        <v>#N/A</v>
      </c>
      <c r="H82" s="656" t="e">
        <f t="shared" si="14"/>
        <v>#N/A</v>
      </c>
      <c r="I82" s="656" t="e">
        <f t="shared" si="14"/>
        <v>#N/A</v>
      </c>
      <c r="J82" s="657" t="e">
        <f t="shared" si="14"/>
        <v>#N/A</v>
      </c>
      <c r="K82" s="654" t="s">
        <v>45</v>
      </c>
      <c r="L82" s="58"/>
      <c r="M82" s="720" t="e">
        <f>+SUM(M73:M76,M79:M81)</f>
        <v>#N/A</v>
      </c>
      <c r="N82" s="226"/>
    </row>
    <row r="83" spans="1:25" ht="35.1" customHeight="1" thickBot="1" x14ac:dyDescent="0.25">
      <c r="C83" s="1"/>
      <c r="D83" s="1"/>
      <c r="F83" s="1246" t="s">
        <v>253</v>
      </c>
      <c r="G83" s="1247"/>
      <c r="H83" s="1247"/>
      <c r="I83" s="1247"/>
      <c r="J83" s="1248"/>
      <c r="K83" s="1"/>
      <c r="L83" s="6"/>
      <c r="O83" s="227">
        <v>0.3</v>
      </c>
      <c r="P83" s="227">
        <v>1.65</v>
      </c>
      <c r="Q83" s="228"/>
    </row>
    <row r="84" spans="1:25" ht="35.1" customHeight="1" thickBot="1" x14ac:dyDescent="0.25">
      <c r="B84" s="1"/>
      <c r="C84" s="155"/>
      <c r="D84" s="156"/>
      <c r="E84" s="157"/>
      <c r="F84" s="658" t="e">
        <f>SQRT((F77)^2+(F82)^2)</f>
        <v>#N/A</v>
      </c>
      <c r="G84" s="659" t="e">
        <f t="shared" ref="G84:J84" si="15">SQRT((G77)^2+(G82)^2)</f>
        <v>#N/A</v>
      </c>
      <c r="H84" s="659" t="e">
        <f>SQRT((H77)^2+(H82)^2)</f>
        <v>#N/A</v>
      </c>
      <c r="I84" s="659" t="e">
        <f t="shared" si="15"/>
        <v>#N/A</v>
      </c>
      <c r="J84" s="660" t="e">
        <f t="shared" si="15"/>
        <v>#N/A</v>
      </c>
      <c r="L84" s="6"/>
      <c r="O84" s="1309" t="s">
        <v>283</v>
      </c>
      <c r="P84" s="1310"/>
      <c r="Q84" s="1311"/>
    </row>
    <row r="85" spans="1:25" s="7" customFormat="1" ht="37.5" customHeight="1" thickBot="1" x14ac:dyDescent="0.25">
      <c r="A85" s="38"/>
      <c r="B85" s="38"/>
      <c r="D85" s="34"/>
      <c r="F85" s="234"/>
      <c r="G85" s="234"/>
      <c r="H85" s="234"/>
      <c r="I85" s="234"/>
      <c r="J85" s="234"/>
      <c r="L85" s="462" t="s">
        <v>278</v>
      </c>
      <c r="M85" s="310" t="e">
        <f>MAX(J73:J76,J79:J81)</f>
        <v>#N/A</v>
      </c>
      <c r="N85" s="316" t="e">
        <f>IF((M86)&lt;=(O83),"165","k=2")</f>
        <v>#N/A</v>
      </c>
      <c r="O85" s="312" t="s">
        <v>279</v>
      </c>
      <c r="P85" s="313" t="s">
        <v>280</v>
      </c>
      <c r="Q85" s="841" t="s">
        <v>419</v>
      </c>
      <c r="R85" s="840"/>
      <c r="S85" s="840"/>
      <c r="T85" s="840"/>
      <c r="U85" s="840"/>
      <c r="V85" s="840"/>
      <c r="W85" s="840"/>
      <c r="X85" s="840"/>
      <c r="Y85" s="840"/>
    </row>
    <row r="86" spans="1:25" s="29" customFormat="1" ht="35.1" customHeight="1" thickBot="1" x14ac:dyDescent="0.25">
      <c r="F86" s="1158" t="s">
        <v>26</v>
      </c>
      <c r="G86" s="1172"/>
      <c r="H86" s="1172"/>
      <c r="I86" s="1172"/>
      <c r="J86" s="1173"/>
      <c r="L86" s="316" t="s">
        <v>281</v>
      </c>
      <c r="M86" s="311" t="e">
        <f>SQRT((J73)^2+(J74)^2+J79^2+J80^2+J81^2)/J76</f>
        <v>#N/A</v>
      </c>
      <c r="N86" s="225"/>
      <c r="O86" s="314" t="s">
        <v>279</v>
      </c>
      <c r="P86" s="315" t="s">
        <v>282</v>
      </c>
      <c r="Q86" s="842" t="s">
        <v>420</v>
      </c>
      <c r="R86" s="840"/>
      <c r="S86" s="840"/>
      <c r="T86" s="840"/>
      <c r="U86" s="840"/>
      <c r="V86" s="840"/>
      <c r="W86" s="840"/>
      <c r="X86" s="840"/>
      <c r="Y86" s="840"/>
    </row>
    <row r="87" spans="1:25" ht="15.75" thickBot="1" x14ac:dyDescent="0.25">
      <c r="B87" s="1"/>
      <c r="C87" s="25"/>
      <c r="D87" s="25"/>
      <c r="F87" s="1195" t="s">
        <v>50</v>
      </c>
      <c r="G87" s="1196"/>
      <c r="H87" s="1196"/>
      <c r="I87" s="1196"/>
      <c r="J87" s="1197"/>
      <c r="Q87" s="29"/>
      <c r="R87" s="840"/>
      <c r="S87" s="840"/>
      <c r="T87" s="840"/>
    </row>
    <row r="88" spans="1:25" ht="35.1" customHeight="1" x14ac:dyDescent="0.2">
      <c r="A88" s="1237" t="s">
        <v>79</v>
      </c>
      <c r="B88" s="1238"/>
      <c r="C88" s="1239"/>
      <c r="D88" s="1244"/>
      <c r="E88" s="1244"/>
      <c r="F88" s="149">
        <v>100</v>
      </c>
      <c r="G88" s="178">
        <v>100</v>
      </c>
      <c r="H88" s="178">
        <v>100</v>
      </c>
      <c r="I88" s="178">
        <v>100</v>
      </c>
      <c r="J88" s="150">
        <v>100</v>
      </c>
      <c r="Q88" s="29"/>
      <c r="R88" s="840"/>
      <c r="S88" s="840"/>
      <c r="T88" s="840"/>
    </row>
    <row r="89" spans="1:25" ht="35.1" customHeight="1" x14ac:dyDescent="0.2">
      <c r="A89" s="1234" t="s">
        <v>80</v>
      </c>
      <c r="B89" s="1235"/>
      <c r="C89" s="1236"/>
      <c r="D89" s="1245"/>
      <c r="E89" s="1245"/>
      <c r="F89" s="151">
        <f>$K$43-1</f>
        <v>9</v>
      </c>
      <c r="G89" s="39">
        <f t="shared" ref="G89:J89" si="16">$K$43-1</f>
        <v>9</v>
      </c>
      <c r="H89" s="39">
        <f t="shared" si="16"/>
        <v>9</v>
      </c>
      <c r="I89" s="39">
        <f t="shared" si="16"/>
        <v>9</v>
      </c>
      <c r="J89" s="152">
        <f t="shared" si="16"/>
        <v>9</v>
      </c>
      <c r="R89" s="840"/>
      <c r="S89" s="840"/>
      <c r="T89" s="840"/>
    </row>
    <row r="90" spans="1:25" ht="35.1" customHeight="1" thickBot="1" x14ac:dyDescent="0.25">
      <c r="A90" s="1255" t="s">
        <v>81</v>
      </c>
      <c r="B90" s="1257"/>
      <c r="C90" s="1256"/>
      <c r="D90" s="1243"/>
      <c r="E90" s="1243"/>
      <c r="F90" s="651">
        <v>100</v>
      </c>
      <c r="G90" s="652">
        <v>100</v>
      </c>
      <c r="H90" s="652">
        <v>100</v>
      </c>
      <c r="I90" s="652">
        <v>100</v>
      </c>
      <c r="J90" s="653">
        <v>100</v>
      </c>
      <c r="R90" s="840"/>
      <c r="S90" s="840"/>
      <c r="T90" s="840"/>
    </row>
    <row r="91" spans="1:25" ht="50.1" customHeight="1" thickBot="1" x14ac:dyDescent="0.25">
      <c r="B91" s="158"/>
      <c r="C91" s="159"/>
      <c r="D91" s="232"/>
      <c r="E91" s="160"/>
      <c r="F91" s="702" t="e">
        <f>F77^4/(F73^4/$L$73+(F74^4/($L$74))+(F75^4/$L$75)+(F76^4/$L$76))</f>
        <v>#N/A</v>
      </c>
      <c r="G91" s="702" t="e">
        <f>G77^4/(G73^4/$L$73+(G74^4/($L$74))+(G75^4/$L$75)+(G76^4/$L$76))</f>
        <v>#N/A</v>
      </c>
      <c r="H91" s="702" t="e">
        <f>H77^4/(H73^4/$L$73+(H74^4/($L$74))+(H75^4/$L$75)+(H76^4/$L$76))</f>
        <v>#N/A</v>
      </c>
      <c r="I91" s="702" t="e">
        <f>I77^4/(I73^4/$L$73+(I74^4/($L$74))+(I75^4/$L$75)+(I76^4/$L$76))</f>
        <v>#N/A</v>
      </c>
      <c r="J91" s="702" t="e">
        <f>J77^4/(J73^4/$L$73+(J74^4/($L$74))+(J75^4/$L$75)+(J76^4/$L$76))</f>
        <v>#N/A</v>
      </c>
      <c r="K91" s="1329" t="s">
        <v>78</v>
      </c>
      <c r="L91" s="1184" t="s">
        <v>431</v>
      </c>
      <c r="M91" s="1184" t="s">
        <v>432</v>
      </c>
      <c r="N91" s="1184" t="s">
        <v>414</v>
      </c>
      <c r="O91" s="1184" t="s">
        <v>234</v>
      </c>
      <c r="P91" s="1128" t="s">
        <v>413</v>
      </c>
      <c r="Q91" s="868" t="e">
        <f>Q97/K97</f>
        <v>#N/A</v>
      </c>
    </row>
    <row r="92" spans="1:25" ht="35.1" customHeight="1" thickBot="1" x14ac:dyDescent="0.25">
      <c r="B92" s="1"/>
      <c r="C92" s="25"/>
      <c r="D92" s="25"/>
      <c r="E92" s="25"/>
      <c r="F92" s="1322" t="s">
        <v>49</v>
      </c>
      <c r="G92" s="1323"/>
      <c r="H92" s="1323"/>
      <c r="I92" s="1323"/>
      <c r="J92" s="1324"/>
      <c r="K92" s="1330"/>
      <c r="L92" s="1185"/>
      <c r="M92" s="1185"/>
      <c r="N92" s="1185"/>
      <c r="O92" s="1185"/>
      <c r="P92" s="1129"/>
      <c r="Q92" s="912" t="s">
        <v>487</v>
      </c>
    </row>
    <row r="93" spans="1:25" ht="35.1" customHeight="1" x14ac:dyDescent="0.2">
      <c r="A93" s="1237" t="s">
        <v>82</v>
      </c>
      <c r="B93" s="1238"/>
      <c r="C93" s="1239"/>
      <c r="D93" s="1130"/>
      <c r="E93" s="1130"/>
      <c r="F93" s="149">
        <v>100</v>
      </c>
      <c r="G93" s="178">
        <v>100</v>
      </c>
      <c r="H93" s="178">
        <v>100</v>
      </c>
      <c r="I93" s="178">
        <v>100</v>
      </c>
      <c r="J93" s="150">
        <v>100</v>
      </c>
      <c r="K93" s="721" t="e">
        <f>G21</f>
        <v>#N/A</v>
      </c>
      <c r="L93" s="722" t="e">
        <f>L55</f>
        <v>#DIV/0!</v>
      </c>
      <c r="M93" s="723" t="e">
        <f>K55</f>
        <v>#DIV/0!</v>
      </c>
      <c r="N93" s="724" t="e">
        <f>F84*D103</f>
        <v>#N/A</v>
      </c>
      <c r="O93" s="725" t="e">
        <f>N93/1000</f>
        <v>#N/A</v>
      </c>
      <c r="P93" s="865" t="e">
        <f>N93/(B55*1000)</f>
        <v>#N/A</v>
      </c>
      <c r="Q93" s="910" t="e">
        <f>'DATOS @ '!$H$157+('DATOS @ '!$J$157*'RT03-F12 @'!K93)</f>
        <v>#N/A</v>
      </c>
    </row>
    <row r="94" spans="1:25" ht="35.1" customHeight="1" x14ac:dyDescent="0.2">
      <c r="A94" s="1234" t="s">
        <v>83</v>
      </c>
      <c r="B94" s="1235"/>
      <c r="C94" s="1236"/>
      <c r="D94" s="1130"/>
      <c r="E94" s="1130"/>
      <c r="F94" s="151">
        <v>100</v>
      </c>
      <c r="G94" s="39">
        <v>100</v>
      </c>
      <c r="H94" s="39">
        <v>100</v>
      </c>
      <c r="I94" s="39">
        <v>100</v>
      </c>
      <c r="J94" s="152">
        <v>100</v>
      </c>
      <c r="K94" s="726" t="e">
        <f t="shared" ref="K94:K97" si="17">G22</f>
        <v>#N/A</v>
      </c>
      <c r="L94" s="27" t="e">
        <f>L56</f>
        <v>#DIV/0!</v>
      </c>
      <c r="M94" s="727" t="e">
        <f t="shared" ref="M94:M97" si="18">K56</f>
        <v>#DIV/0!</v>
      </c>
      <c r="N94" s="728" t="e">
        <f>G84*D103</f>
        <v>#N/A</v>
      </c>
      <c r="O94" s="729" t="e">
        <f>N94/1000</f>
        <v>#N/A</v>
      </c>
      <c r="P94" s="866" t="e">
        <f>N94/(B56*1000)</f>
        <v>#N/A</v>
      </c>
      <c r="Q94" s="911" t="e">
        <f>'DATOS @ '!$H$157+('DATOS @ '!$J$157*'RT03-F12 @'!K94)</f>
        <v>#N/A</v>
      </c>
    </row>
    <row r="95" spans="1:25" ht="35.1" customHeight="1" thickBot="1" x14ac:dyDescent="0.25">
      <c r="A95" s="1255" t="s">
        <v>84</v>
      </c>
      <c r="B95" s="1257"/>
      <c r="C95" s="1256"/>
      <c r="D95" s="1130"/>
      <c r="E95" s="1130"/>
      <c r="F95" s="651">
        <v>100</v>
      </c>
      <c r="G95" s="652">
        <v>100</v>
      </c>
      <c r="H95" s="652">
        <v>100</v>
      </c>
      <c r="I95" s="652">
        <v>100</v>
      </c>
      <c r="J95" s="653">
        <v>100</v>
      </c>
      <c r="K95" s="726" t="e">
        <f t="shared" si="17"/>
        <v>#N/A</v>
      </c>
      <c r="L95" s="27" t="e">
        <f>L57</f>
        <v>#DIV/0!</v>
      </c>
      <c r="M95" s="727" t="e">
        <f t="shared" si="18"/>
        <v>#DIV/0!</v>
      </c>
      <c r="N95" s="728" t="e">
        <f>H84*D103</f>
        <v>#N/A</v>
      </c>
      <c r="O95" s="729" t="e">
        <f>N95/1000</f>
        <v>#N/A</v>
      </c>
      <c r="P95" s="866" t="e">
        <f>N95/(B57*1000)</f>
        <v>#N/A</v>
      </c>
      <c r="Q95" s="911" t="e">
        <f>'DATOS @ '!$H$157+('DATOS @ '!$J$157*'RT03-F12 @'!K95)</f>
        <v>#N/A</v>
      </c>
    </row>
    <row r="96" spans="1:25" ht="50.1" customHeight="1" thickBot="1" x14ac:dyDescent="0.25">
      <c r="B96" s="1240"/>
      <c r="C96" s="1240"/>
      <c r="D96" s="1241"/>
      <c r="E96" s="1242"/>
      <c r="F96" s="736" t="e">
        <f>F82^4/((F79^4/$L$79)+(F80^4/$L$80)+(F81^4/$L$81))</f>
        <v>#N/A</v>
      </c>
      <c r="G96" s="703" t="e">
        <f>G82^4/((G79^4/$L$79)+(G80^4/$L$80)+(G81^4/$L$81))</f>
        <v>#N/A</v>
      </c>
      <c r="H96" s="703" t="e">
        <f>H82^4/((H79^4/$L$79)+(H80^4/$L$80)+(H81^4/$L$81))</f>
        <v>#N/A</v>
      </c>
      <c r="I96" s="703" t="e">
        <f>I82^4/((I79^4/$L$79)+(I80^4/$L$80)+(I81^4/$L$81))</f>
        <v>#N/A</v>
      </c>
      <c r="J96" s="737" t="e">
        <f>J82^4/((J79^4/$L$79)+(J80^4/$L$80)+(J81^4/$L$81))</f>
        <v>#N/A</v>
      </c>
      <c r="K96" s="726" t="e">
        <f t="shared" si="17"/>
        <v>#N/A</v>
      </c>
      <c r="L96" s="730" t="e">
        <f>L58</f>
        <v>#DIV/0!</v>
      </c>
      <c r="M96" s="731" t="e">
        <f t="shared" si="18"/>
        <v>#DIV/0!</v>
      </c>
      <c r="N96" s="728" t="e">
        <f>I84*D103</f>
        <v>#N/A</v>
      </c>
      <c r="O96" s="729" t="e">
        <f>N96/1000</f>
        <v>#N/A</v>
      </c>
      <c r="P96" s="866" t="e">
        <f>N96/(B58*1000)</f>
        <v>#N/A</v>
      </c>
      <c r="Q96" s="911" t="e">
        <f>'DATOS @ '!$H$157+('DATOS @ '!$J$157*'RT03-F12 @'!K96)</f>
        <v>#N/A</v>
      </c>
    </row>
    <row r="97" spans="2:25" ht="35.1" customHeight="1" thickBot="1" x14ac:dyDescent="0.25">
      <c r="B97" s="1"/>
      <c r="C97" s="1"/>
      <c r="D97" s="1"/>
      <c r="E97" s="1"/>
      <c r="F97" s="1320" t="s">
        <v>27</v>
      </c>
      <c r="G97" s="1321"/>
      <c r="H97" s="1321"/>
      <c r="I97" s="1321"/>
      <c r="J97" s="1321"/>
      <c r="K97" s="732" t="e">
        <f t="shared" si="17"/>
        <v>#N/A</v>
      </c>
      <c r="L97" s="733" t="e">
        <f>L59</f>
        <v>#DIV/0!</v>
      </c>
      <c r="M97" s="734" t="e">
        <f t="shared" si="18"/>
        <v>#DIV/0!</v>
      </c>
      <c r="N97" s="735" t="e">
        <f>J84*D103</f>
        <v>#N/A</v>
      </c>
      <c r="O97" s="916" t="e">
        <f>N97/1000</f>
        <v>#N/A</v>
      </c>
      <c r="P97" s="867" t="e">
        <f>N97/(B59*1000)</f>
        <v>#N/A</v>
      </c>
      <c r="Q97" s="917" t="e">
        <f>'DATOS @ '!$H$157+('DATOS @ '!$J$157*'RT03-F12 @'!K97)</f>
        <v>#N/A</v>
      </c>
    </row>
    <row r="98" spans="2:25" ht="50.1" customHeight="1" thickBot="1" x14ac:dyDescent="0.25">
      <c r="B98" s="7"/>
      <c r="C98" s="1306"/>
      <c r="D98" s="1307"/>
      <c r="E98" s="1308"/>
      <c r="F98" s="598" t="e">
        <f>F84^4/((F77^4/F91)+(F82^4/F96))</f>
        <v>#N/A</v>
      </c>
      <c r="G98" s="599" t="e">
        <f>G84^4/((G77^4/G91)+(G82^4/G96))</f>
        <v>#N/A</v>
      </c>
      <c r="H98" s="599" t="e">
        <f>H84^4/((H77^4/H91)+(H82^4/H96))</f>
        <v>#N/A</v>
      </c>
      <c r="I98" s="599" t="e">
        <f>I84^4/((I77^4/I91)+(I82^4/I96))</f>
        <v>#N/A</v>
      </c>
      <c r="J98" s="600" t="e">
        <f>J84^4/((J77^4/J91)+(J82^4/J96))</f>
        <v>#N/A</v>
      </c>
      <c r="K98" s="1"/>
    </row>
    <row r="99" spans="2:25" s="7" customFormat="1" ht="9.9499999999999993" customHeight="1" thickBot="1" x14ac:dyDescent="0.25">
      <c r="B99" s="38"/>
      <c r="C99" s="38"/>
      <c r="E99" s="34"/>
      <c r="R99" s="840"/>
      <c r="S99" s="840"/>
      <c r="T99" s="840"/>
      <c r="U99" s="840"/>
      <c r="V99" s="840"/>
      <c r="W99" s="840"/>
      <c r="X99" s="840"/>
      <c r="Y99" s="840"/>
    </row>
    <row r="100" spans="2:25" ht="35.1" customHeight="1" thickBot="1" x14ac:dyDescent="0.25">
      <c r="B100" s="1"/>
      <c r="C100" s="1"/>
      <c r="D100" s="1"/>
      <c r="E100" s="1"/>
      <c r="F100" s="1158" t="s">
        <v>415</v>
      </c>
      <c r="G100" s="1172"/>
      <c r="H100" s="1172"/>
      <c r="I100" s="1172"/>
      <c r="J100" s="1173"/>
      <c r="K100" s="1"/>
    </row>
    <row r="101" spans="2:25" ht="35.1" customHeight="1" thickBot="1" x14ac:dyDescent="0.25">
      <c r="B101" s="158"/>
      <c r="C101" s="205"/>
      <c r="D101" s="159"/>
      <c r="E101" s="157"/>
      <c r="F101" s="595" t="e">
        <f>_xlfn.T.INV.2T(100%-$I$103,F98)</f>
        <v>#N/A</v>
      </c>
      <c r="G101" s="596" t="e">
        <f>_xlfn.T.INV.2T(100%-$I$103,G98)</f>
        <v>#N/A</v>
      </c>
      <c r="H101" s="596" t="e">
        <f>_xlfn.T.INV.2T(100%-$I$103,H98)</f>
        <v>#N/A</v>
      </c>
      <c r="I101" s="596" t="e">
        <f>_xlfn.T.INV.2T(100%-$I$103,I98)</f>
        <v>#N/A</v>
      </c>
      <c r="J101" s="597" t="e">
        <f>_xlfn.T.INV.2T(100%-$I$103,J98)</f>
        <v>#N/A</v>
      </c>
      <c r="K101" s="1"/>
    </row>
    <row r="102" spans="2:25" ht="9.9499999999999993" customHeight="1" thickBot="1" x14ac:dyDescent="0.25">
      <c r="K102" s="1"/>
    </row>
    <row r="103" spans="2:25" ht="35.1" customHeight="1" thickBot="1" x14ac:dyDescent="0.25">
      <c r="C103" s="738" t="s">
        <v>367</v>
      </c>
      <c r="D103" s="739">
        <f>'DATOS @ '!M8</f>
        <v>2</v>
      </c>
      <c r="F103" s="1158" t="s">
        <v>51</v>
      </c>
      <c r="G103" s="1172"/>
      <c r="H103" s="1173"/>
      <c r="I103" s="459">
        <f>'DATOS @ '!N8</f>
        <v>0.95</v>
      </c>
      <c r="L103" s="6"/>
    </row>
    <row r="104" spans="2:25" s="29" customFormat="1" ht="44.25" customHeight="1" thickBot="1" x14ac:dyDescent="0.25">
      <c r="R104" s="840"/>
      <c r="S104" s="840"/>
      <c r="T104" s="840"/>
      <c r="U104" s="840"/>
      <c r="V104" s="840"/>
      <c r="W104" s="840"/>
      <c r="X104" s="840"/>
      <c r="Y104" s="840"/>
    </row>
    <row r="105" spans="2:25" s="29" customFormat="1" ht="35.1" customHeight="1" thickBot="1" x14ac:dyDescent="0.25">
      <c r="B105" s="1158" t="s">
        <v>437</v>
      </c>
      <c r="C105" s="1159"/>
      <c r="D105" s="1159"/>
      <c r="E105" s="1159"/>
      <c r="F105" s="1159"/>
      <c r="G105" s="1159"/>
      <c r="H105" s="1159"/>
      <c r="I105" s="1159"/>
      <c r="J105" s="1159"/>
      <c r="K105" s="1159"/>
      <c r="L105" s="1159"/>
      <c r="M105" s="1159"/>
      <c r="N105" s="1159"/>
      <c r="O105" s="1159"/>
      <c r="P105" s="1160"/>
      <c r="R105" s="840"/>
      <c r="S105" s="840"/>
      <c r="T105" s="840"/>
      <c r="U105" s="840"/>
      <c r="V105" s="840"/>
      <c r="W105" s="840"/>
      <c r="X105" s="840"/>
      <c r="Y105" s="840"/>
    </row>
    <row r="106" spans="2:25" s="29" customFormat="1" ht="35.1" customHeight="1" thickBot="1" x14ac:dyDescent="0.25">
      <c r="F106" s="463"/>
      <c r="R106" s="840"/>
      <c r="S106" s="840"/>
      <c r="T106" s="840"/>
      <c r="U106" s="840"/>
      <c r="V106" s="840"/>
      <c r="W106" s="840"/>
      <c r="X106" s="840"/>
      <c r="Y106" s="840"/>
    </row>
    <row r="107" spans="2:25" s="29" customFormat="1" ht="33" customHeight="1" x14ac:dyDescent="0.2">
      <c r="B107" s="1312" t="s">
        <v>373</v>
      </c>
      <c r="C107" s="1152" t="s">
        <v>374</v>
      </c>
      <c r="D107" s="1152" t="s">
        <v>375</v>
      </c>
      <c r="E107" s="740" t="s">
        <v>31</v>
      </c>
      <c r="F107" s="1152" t="s">
        <v>32</v>
      </c>
      <c r="G107" s="740" t="s">
        <v>95</v>
      </c>
      <c r="H107" s="1152" t="s">
        <v>383</v>
      </c>
      <c r="I107" s="1152" t="s">
        <v>96</v>
      </c>
      <c r="J107" s="1281" t="s">
        <v>386</v>
      </c>
      <c r="K107" s="741" t="s">
        <v>35</v>
      </c>
      <c r="L107" s="1145" t="s">
        <v>389</v>
      </c>
      <c r="M107" s="1147" t="s">
        <v>390</v>
      </c>
      <c r="R107" s="840"/>
      <c r="S107" s="840"/>
      <c r="T107" s="840"/>
      <c r="U107" s="840"/>
      <c r="V107" s="840"/>
      <c r="W107" s="840"/>
      <c r="X107" s="840"/>
      <c r="Y107" s="840"/>
    </row>
    <row r="108" spans="2:25" s="29" customFormat="1" ht="35.1" customHeight="1" thickBot="1" x14ac:dyDescent="0.25">
      <c r="B108" s="1313"/>
      <c r="C108" s="1153"/>
      <c r="D108" s="1153"/>
      <c r="E108" s="742"/>
      <c r="F108" s="1153"/>
      <c r="G108" s="743"/>
      <c r="H108" s="1153"/>
      <c r="I108" s="1153"/>
      <c r="J108" s="1282"/>
      <c r="K108" s="744"/>
      <c r="L108" s="1146"/>
      <c r="M108" s="1148"/>
      <c r="R108" s="840"/>
      <c r="S108" s="840"/>
      <c r="T108" s="840"/>
      <c r="U108" s="840"/>
      <c r="V108" s="840"/>
      <c r="W108" s="840"/>
      <c r="X108" s="840"/>
      <c r="Y108" s="840"/>
    </row>
    <row r="109" spans="2:25" s="29" customFormat="1" ht="35.1" customHeight="1" x14ac:dyDescent="0.2">
      <c r="B109" s="149" t="e">
        <f>J55</f>
        <v>#DIV/0!</v>
      </c>
      <c r="C109" s="456" t="e">
        <f>L93</f>
        <v>#DIV/0!</v>
      </c>
      <c r="D109" s="757" t="e">
        <f>F84</f>
        <v>#N/A</v>
      </c>
      <c r="E109" s="627" t="e">
        <f>1/D109^2</f>
        <v>#N/A</v>
      </c>
      <c r="F109" s="758" t="e">
        <f>E109*B109*C109</f>
        <v>#N/A</v>
      </c>
      <c r="G109" s="759" t="e">
        <f>E109*B109^2</f>
        <v>#N/A</v>
      </c>
      <c r="H109" s="627" t="e">
        <f>E109*($C$116*B109-C109)^2</f>
        <v>#N/A</v>
      </c>
      <c r="I109" s="759" t="e">
        <f>((($C$117*$C$119)+($C$118*(J55^2))))</f>
        <v>#N/A</v>
      </c>
      <c r="J109" s="456" t="e">
        <f>SQRT(I109)</f>
        <v>#N/A</v>
      </c>
      <c r="K109" s="760" t="e">
        <f>SQRT($C$119+I109)</f>
        <v>#DIV/0!</v>
      </c>
      <c r="L109" s="761" t="e">
        <f>$E$136+$G$136*N128</f>
        <v>#DIV/0!</v>
      </c>
      <c r="M109" s="762" t="e">
        <f>L109/B109</f>
        <v>#DIV/0!</v>
      </c>
      <c r="R109" s="840"/>
      <c r="S109" s="840"/>
      <c r="T109" s="840"/>
      <c r="U109" s="840"/>
      <c r="V109" s="840"/>
      <c r="W109" s="840"/>
      <c r="X109" s="840"/>
      <c r="Y109" s="840"/>
    </row>
    <row r="110" spans="2:25" s="29" customFormat="1" ht="35.1" customHeight="1" x14ac:dyDescent="0.2">
      <c r="B110" s="151" t="e">
        <f t="shared" ref="B110:B113" si="19">J56</f>
        <v>#DIV/0!</v>
      </c>
      <c r="C110" s="218" t="e">
        <f>L94</f>
        <v>#DIV/0!</v>
      </c>
      <c r="D110" s="218" t="e">
        <f>G84</f>
        <v>#N/A</v>
      </c>
      <c r="E110" s="745" t="e">
        <f t="shared" ref="E110:E113" si="20">1/D110^2</f>
        <v>#N/A</v>
      </c>
      <c r="F110" s="746" t="e">
        <f t="shared" ref="F110:F113" si="21">E110*B110*C110</f>
        <v>#N/A</v>
      </c>
      <c r="G110" s="747" t="e">
        <f t="shared" ref="G110:G113" si="22">E110*B110^2</f>
        <v>#N/A</v>
      </c>
      <c r="H110" s="745" t="e">
        <f>E110*($C$116*B110-C110)^2</f>
        <v>#N/A</v>
      </c>
      <c r="I110" s="747" t="e">
        <f>$C$117*$C$119+$C$118*J56^2</f>
        <v>#N/A</v>
      </c>
      <c r="J110" s="39" t="e">
        <f t="shared" ref="J110:J113" si="23">SQRT(I110)</f>
        <v>#N/A</v>
      </c>
      <c r="K110" s="748" t="e">
        <f>SQRT($C$119+I110)</f>
        <v>#DIV/0!</v>
      </c>
      <c r="L110" s="749" t="e">
        <f t="shared" ref="L110:L113" si="24">$E$136+$G$136*N129</f>
        <v>#DIV/0!</v>
      </c>
      <c r="M110" s="750" t="e">
        <f t="shared" ref="M110:M113" si="25">L110/B110</f>
        <v>#DIV/0!</v>
      </c>
      <c r="R110" s="840"/>
      <c r="S110" s="840"/>
      <c r="T110" s="840"/>
      <c r="U110" s="840"/>
      <c r="V110" s="840"/>
      <c r="W110" s="840"/>
      <c r="X110" s="840"/>
      <c r="Y110" s="840"/>
    </row>
    <row r="111" spans="2:25" s="29" customFormat="1" ht="35.1" customHeight="1" x14ac:dyDescent="0.2">
      <c r="B111" s="151" t="e">
        <f t="shared" si="19"/>
        <v>#DIV/0!</v>
      </c>
      <c r="C111" s="218" t="e">
        <f>L95</f>
        <v>#DIV/0!</v>
      </c>
      <c r="D111" s="218" t="e">
        <f>H84</f>
        <v>#N/A</v>
      </c>
      <c r="E111" s="745" t="e">
        <f t="shared" si="20"/>
        <v>#N/A</v>
      </c>
      <c r="F111" s="746" t="e">
        <f t="shared" si="21"/>
        <v>#N/A</v>
      </c>
      <c r="G111" s="747" t="e">
        <f t="shared" si="22"/>
        <v>#N/A</v>
      </c>
      <c r="H111" s="745" t="e">
        <f>E111*($C$116*B111-C111)^2</f>
        <v>#N/A</v>
      </c>
      <c r="I111" s="747" t="e">
        <f>$C$117*$C$119+$C$118*J57^2</f>
        <v>#N/A</v>
      </c>
      <c r="J111" s="39" t="e">
        <f t="shared" si="23"/>
        <v>#N/A</v>
      </c>
      <c r="K111" s="748" t="e">
        <f>SQRT($C$119+I111)</f>
        <v>#DIV/0!</v>
      </c>
      <c r="L111" s="749" t="e">
        <f t="shared" si="24"/>
        <v>#DIV/0!</v>
      </c>
      <c r="M111" s="750" t="e">
        <f t="shared" si="25"/>
        <v>#DIV/0!</v>
      </c>
      <c r="R111" s="840"/>
      <c r="S111" s="840"/>
      <c r="T111" s="840"/>
      <c r="U111" s="840"/>
      <c r="V111" s="840"/>
      <c r="W111" s="840"/>
      <c r="X111" s="840"/>
      <c r="Y111" s="840"/>
    </row>
    <row r="112" spans="2:25" s="29" customFormat="1" ht="35.1" customHeight="1" x14ac:dyDescent="0.2">
      <c r="B112" s="151" t="e">
        <f t="shared" si="19"/>
        <v>#DIV/0!</v>
      </c>
      <c r="C112" s="218" t="e">
        <f>L96</f>
        <v>#DIV/0!</v>
      </c>
      <c r="D112" s="218" t="e">
        <f>I84</f>
        <v>#N/A</v>
      </c>
      <c r="E112" s="745" t="e">
        <f t="shared" si="20"/>
        <v>#N/A</v>
      </c>
      <c r="F112" s="746" t="e">
        <f t="shared" si="21"/>
        <v>#N/A</v>
      </c>
      <c r="G112" s="747" t="e">
        <f t="shared" si="22"/>
        <v>#N/A</v>
      </c>
      <c r="H112" s="745" t="e">
        <f>E112*($C$116*B112-C112)^2</f>
        <v>#N/A</v>
      </c>
      <c r="I112" s="747" t="e">
        <f>$C$117*$C$119+$C$118*J58^2</f>
        <v>#N/A</v>
      </c>
      <c r="J112" s="39" t="e">
        <f t="shared" si="23"/>
        <v>#N/A</v>
      </c>
      <c r="K112" s="748" t="e">
        <f>SQRT($C$119+I112)</f>
        <v>#DIV/0!</v>
      </c>
      <c r="L112" s="749" t="e">
        <f t="shared" si="24"/>
        <v>#DIV/0!</v>
      </c>
      <c r="M112" s="750" t="e">
        <f t="shared" si="25"/>
        <v>#DIV/0!</v>
      </c>
      <c r="R112" s="840"/>
      <c r="S112" s="840"/>
      <c r="T112" s="840"/>
      <c r="U112" s="840"/>
      <c r="V112" s="840"/>
      <c r="W112" s="840"/>
      <c r="X112" s="840"/>
      <c r="Y112" s="840"/>
    </row>
    <row r="113" spans="2:26" s="29" customFormat="1" ht="35.1" customHeight="1" thickBot="1" x14ac:dyDescent="0.25">
      <c r="B113" s="153" t="e">
        <f t="shared" si="19"/>
        <v>#DIV/0!</v>
      </c>
      <c r="C113" s="168" t="e">
        <f>L97</f>
        <v>#DIV/0!</v>
      </c>
      <c r="D113" s="168" t="e">
        <f>J84</f>
        <v>#N/A</v>
      </c>
      <c r="E113" s="628" t="e">
        <f t="shared" si="20"/>
        <v>#N/A</v>
      </c>
      <c r="F113" s="751" t="e">
        <f t="shared" si="21"/>
        <v>#N/A</v>
      </c>
      <c r="G113" s="752" t="e">
        <f t="shared" si="22"/>
        <v>#N/A</v>
      </c>
      <c r="H113" s="628" t="e">
        <f>E113*($C$116*B113-C113)^2</f>
        <v>#N/A</v>
      </c>
      <c r="I113" s="752" t="e">
        <f>$C$117*$C$119+$C$118*J59^2</f>
        <v>#N/A</v>
      </c>
      <c r="J113" s="753" t="e">
        <f t="shared" si="23"/>
        <v>#N/A</v>
      </c>
      <c r="K113" s="754" t="e">
        <f>SQRT($C$119+I113)</f>
        <v>#DIV/0!</v>
      </c>
      <c r="L113" s="755" t="e">
        <f t="shared" si="24"/>
        <v>#DIV/0!</v>
      </c>
      <c r="M113" s="756" t="e">
        <f t="shared" si="25"/>
        <v>#DIV/0!</v>
      </c>
      <c r="R113" s="840"/>
      <c r="S113" s="840"/>
      <c r="T113" s="840"/>
      <c r="U113" s="840"/>
      <c r="V113" s="840"/>
      <c r="W113" s="840"/>
      <c r="X113" s="840"/>
      <c r="Y113" s="840"/>
    </row>
    <row r="114" spans="2:26" s="29" customFormat="1" ht="35.1" customHeight="1" thickBot="1" x14ac:dyDescent="0.25">
      <c r="E114" s="763" t="s">
        <v>33</v>
      </c>
      <c r="F114" s="764" t="e">
        <f>SUM(F109:F113)</f>
        <v>#N/A</v>
      </c>
      <c r="G114" s="764" t="e">
        <f>SUM(G109:G113)</f>
        <v>#N/A</v>
      </c>
      <c r="H114" s="764" t="e">
        <f t="shared" ref="H114" si="26">SUM(H109:H113)</f>
        <v>#N/A</v>
      </c>
      <c r="I114" s="765" t="e">
        <f>SUM(I109:I113)</f>
        <v>#N/A</v>
      </c>
      <c r="R114" s="840"/>
      <c r="S114" s="840"/>
      <c r="T114" s="840"/>
      <c r="U114" s="840"/>
      <c r="V114" s="840"/>
      <c r="W114" s="840"/>
      <c r="X114" s="840"/>
      <c r="Y114" s="840"/>
    </row>
    <row r="115" spans="2:26" s="29" customFormat="1" ht="35.1" customHeight="1" thickBot="1" x14ac:dyDescent="0.25">
      <c r="R115" s="840"/>
      <c r="S115" s="840"/>
      <c r="T115" s="840"/>
      <c r="U115" s="840"/>
      <c r="V115" s="840"/>
      <c r="W115" s="840"/>
      <c r="X115" s="840"/>
      <c r="Y115" s="840"/>
    </row>
    <row r="116" spans="2:26" s="6" customFormat="1" ht="33" customHeight="1" x14ac:dyDescent="0.2">
      <c r="B116" s="508" t="s">
        <v>97</v>
      </c>
      <c r="C116" s="514" t="e">
        <f>(F114/G114)</f>
        <v>#N/A</v>
      </c>
      <c r="E116" s="536" t="s">
        <v>393</v>
      </c>
      <c r="F116" s="528">
        <v>1</v>
      </c>
      <c r="M116" s="29"/>
      <c r="N116" s="29"/>
      <c r="R116" s="58"/>
      <c r="S116" s="58"/>
      <c r="T116" s="58"/>
      <c r="U116" s="58"/>
      <c r="V116" s="58"/>
      <c r="W116" s="58"/>
      <c r="X116" s="58"/>
      <c r="Y116" s="58"/>
    </row>
    <row r="117" spans="2:26" s="6" customFormat="1" ht="28.5" customHeight="1" thickBot="1" x14ac:dyDescent="0.25">
      <c r="B117" s="509" t="s">
        <v>98</v>
      </c>
      <c r="C117" s="515" t="e">
        <f>C116^2</f>
        <v>#N/A</v>
      </c>
      <c r="E117" s="537" t="s">
        <v>394</v>
      </c>
      <c r="F117" s="529">
        <v>2</v>
      </c>
      <c r="G117" s="40"/>
      <c r="M117" s="29"/>
      <c r="N117" s="29"/>
      <c r="R117" s="58"/>
      <c r="S117" s="58"/>
      <c r="T117" s="58"/>
      <c r="U117" s="58"/>
      <c r="V117" s="58"/>
      <c r="W117" s="58"/>
      <c r="X117" s="58"/>
      <c r="Y117" s="58"/>
    </row>
    <row r="118" spans="2:26" ht="35.1" customHeight="1" x14ac:dyDescent="0.2">
      <c r="B118" s="510" t="s">
        <v>384</v>
      </c>
      <c r="C118" s="515" t="e">
        <f>1/G114</f>
        <v>#N/A</v>
      </c>
      <c r="E118" s="530" t="s">
        <v>391</v>
      </c>
      <c r="F118" s="516" t="e">
        <f>H114</f>
        <v>#N/A</v>
      </c>
      <c r="K118" s="1149"/>
      <c r="L118" s="1150"/>
      <c r="M118" s="1151"/>
      <c r="N118" s="29"/>
    </row>
    <row r="119" spans="2:26" ht="35.1" customHeight="1" thickBot="1" x14ac:dyDescent="0.25">
      <c r="B119" s="511" t="s">
        <v>99</v>
      </c>
      <c r="C119" s="594" t="e">
        <f>SUMSQ(F74:F76)</f>
        <v>#DIV/0!</v>
      </c>
      <c r="E119" s="531" t="s">
        <v>38</v>
      </c>
      <c r="F119" s="526">
        <v>2</v>
      </c>
      <c r="K119" s="534" t="e">
        <f>ABS(F118-F120)</f>
        <v>#N/A</v>
      </c>
      <c r="L119" s="535" t="s">
        <v>34</v>
      </c>
      <c r="M119" s="544">
        <f>F119*SQRT(2*F120)</f>
        <v>4.8989794855663558</v>
      </c>
      <c r="N119" s="29"/>
    </row>
    <row r="120" spans="2:26" ht="35.1" customHeight="1" thickBot="1" x14ac:dyDescent="0.25">
      <c r="B120" s="512" t="s">
        <v>385</v>
      </c>
      <c r="C120" s="516" t="e">
        <f>(C39/(G34*SQRT(12)))^2</f>
        <v>#DIV/0!</v>
      </c>
      <c r="E120" s="538" t="s">
        <v>39</v>
      </c>
      <c r="F120" s="527">
        <f>G26</f>
        <v>3</v>
      </c>
      <c r="K120" s="1265" t="e">
        <f>IF(K119&lt;=M119,"APROBADO","NO APROBADO")</f>
        <v>#N/A</v>
      </c>
      <c r="L120" s="1266"/>
      <c r="M120" s="1267"/>
      <c r="N120" s="29"/>
    </row>
    <row r="121" spans="2:26" ht="30.75" customHeight="1" thickBot="1" x14ac:dyDescent="0.25">
      <c r="B121" s="513"/>
      <c r="C121" s="517" t="e">
        <f>F48^2</f>
        <v>#DIV/0!</v>
      </c>
      <c r="E121" s="532" t="s">
        <v>57</v>
      </c>
      <c r="F121" s="458" t="e">
        <f>MAX(F101:J101)</f>
        <v>#N/A</v>
      </c>
      <c r="M121" s="29"/>
      <c r="N121" s="29"/>
    </row>
    <row r="122" spans="2:26" ht="30.75" customHeight="1" thickBot="1" x14ac:dyDescent="0.25"/>
    <row r="123" spans="2:26" ht="35.1" customHeight="1" thickBot="1" x14ac:dyDescent="0.25">
      <c r="B123" s="1331"/>
      <c r="C123" s="1332"/>
      <c r="D123" s="1332"/>
      <c r="E123" s="1332"/>
      <c r="F123" s="1332"/>
      <c r="G123" s="1332"/>
      <c r="H123" s="1332"/>
      <c r="I123" s="1332"/>
      <c r="J123" s="1332"/>
      <c r="K123" s="1332"/>
      <c r="L123" s="1332"/>
      <c r="M123" s="1332"/>
      <c r="N123" s="1332"/>
      <c r="O123" s="1332"/>
      <c r="P123" s="1333"/>
    </row>
    <row r="124" spans="2:26" ht="35.1" customHeight="1" x14ac:dyDescent="0.2">
      <c r="C124" s="506" t="s">
        <v>36</v>
      </c>
      <c r="D124" s="623" t="e">
        <f>SLOPE(O128:O132,N128:N132)</f>
        <v>#DIV/0!</v>
      </c>
      <c r="E124" s="1318" t="s">
        <v>86</v>
      </c>
      <c r="F124" s="1319"/>
      <c r="G124" s="507" t="s">
        <v>64</v>
      </c>
      <c r="H124" s="533">
        <v>5</v>
      </c>
      <c r="I124" s="1"/>
      <c r="K124" s="1"/>
    </row>
    <row r="125" spans="2:26" ht="35.1" customHeight="1" thickBot="1" x14ac:dyDescent="0.25">
      <c r="C125" s="207" t="s">
        <v>37</v>
      </c>
      <c r="D125" s="624" t="e">
        <f>INTERCEPT(K109:K113,G21:G25)</f>
        <v>#DIV/0!</v>
      </c>
      <c r="E125" s="1316" t="s">
        <v>87</v>
      </c>
      <c r="F125" s="1317"/>
      <c r="G125" s="208" t="s">
        <v>65</v>
      </c>
      <c r="H125" s="235" t="e">
        <f>D124*H124+D125</f>
        <v>#DIV/0!</v>
      </c>
    </row>
    <row r="126" spans="2:26" ht="35.1" customHeight="1" thickBot="1" x14ac:dyDescent="0.25">
      <c r="L126" s="6"/>
    </row>
    <row r="127" spans="2:26" ht="35.1" customHeight="1" thickBot="1" x14ac:dyDescent="0.25">
      <c r="N127" s="381" t="s">
        <v>59</v>
      </c>
      <c r="O127" s="644" t="s">
        <v>274</v>
      </c>
      <c r="R127" s="846" t="s">
        <v>458</v>
      </c>
      <c r="S127" s="846" t="s">
        <v>441</v>
      </c>
      <c r="T127" s="847">
        <v>5</v>
      </c>
      <c r="U127" s="846"/>
      <c r="V127" s="846"/>
      <c r="W127" s="846"/>
      <c r="X127" s="846"/>
      <c r="Y127" s="846"/>
      <c r="Z127" s="670"/>
    </row>
    <row r="128" spans="2:26" ht="35.1" customHeight="1" x14ac:dyDescent="0.2">
      <c r="N128" s="642" t="e">
        <f>G21</f>
        <v>#N/A</v>
      </c>
      <c r="O128" s="643" t="e">
        <f>K109</f>
        <v>#DIV/0!</v>
      </c>
      <c r="R128" s="848" t="s">
        <v>439</v>
      </c>
      <c r="S128" s="849" t="s">
        <v>440</v>
      </c>
      <c r="T128" s="849" t="s">
        <v>442</v>
      </c>
      <c r="U128" s="849" t="s">
        <v>486</v>
      </c>
      <c r="V128" s="850" t="s">
        <v>443</v>
      </c>
      <c r="W128" s="850" t="s">
        <v>444</v>
      </c>
      <c r="X128" s="850" t="s">
        <v>445</v>
      </c>
      <c r="Y128" s="850" t="s">
        <v>446</v>
      </c>
      <c r="Z128" s="670"/>
    </row>
    <row r="129" spans="1:26" ht="35.1" customHeight="1" x14ac:dyDescent="0.2">
      <c r="I129" s="14"/>
      <c r="L129" s="229"/>
      <c r="N129" s="151" t="e">
        <f>G22</f>
        <v>#N/A</v>
      </c>
      <c r="O129" s="152" t="e">
        <f>K110</f>
        <v>#DIV/0!</v>
      </c>
      <c r="R129" s="847" t="e">
        <f t="shared" ref="R129:S133" si="27">N128</f>
        <v>#N/A</v>
      </c>
      <c r="S129" s="847" t="e">
        <f t="shared" si="27"/>
        <v>#DIV/0!</v>
      </c>
      <c r="T129" s="847" t="e">
        <f>R129*S129</f>
        <v>#N/A</v>
      </c>
      <c r="U129" s="847" t="e">
        <f>R129^2</f>
        <v>#N/A</v>
      </c>
      <c r="V129" s="846" t="e">
        <f>R134/T127</f>
        <v>#N/A</v>
      </c>
      <c r="W129" s="851" t="e">
        <f>S134/T127</f>
        <v>#DIV/0!</v>
      </c>
      <c r="X129" s="852" t="e">
        <f>SLOPE(S129:S133,R129:R133)</f>
        <v>#DIV/0!</v>
      </c>
      <c r="Y129" s="846" t="e">
        <f>INTERCEPT(K109:K113,G21:G25)</f>
        <v>#DIV/0!</v>
      </c>
      <c r="Z129" s="670"/>
    </row>
    <row r="130" spans="1:26" ht="35.1" customHeight="1" x14ac:dyDescent="0.2">
      <c r="I130" s="14"/>
      <c r="N130" s="151" t="e">
        <f>G23</f>
        <v>#N/A</v>
      </c>
      <c r="O130" s="152" t="e">
        <f>K111</f>
        <v>#DIV/0!</v>
      </c>
      <c r="R130" s="847" t="e">
        <f t="shared" si="27"/>
        <v>#N/A</v>
      </c>
      <c r="S130" s="847" t="e">
        <f t="shared" si="27"/>
        <v>#DIV/0!</v>
      </c>
      <c r="T130" s="847" t="e">
        <f t="shared" ref="T130:T133" si="28">R130*S130</f>
        <v>#N/A</v>
      </c>
      <c r="U130" s="847" t="e">
        <f t="shared" ref="U130:U133" si="29">R130^2</f>
        <v>#N/A</v>
      </c>
      <c r="V130" s="846"/>
      <c r="W130" s="846"/>
      <c r="X130" s="846"/>
      <c r="Y130" s="846"/>
      <c r="Z130" s="670"/>
    </row>
    <row r="131" spans="1:26" ht="35.1" customHeight="1" x14ac:dyDescent="0.2">
      <c r="I131" s="14"/>
      <c r="N131" s="151" t="e">
        <f>G24</f>
        <v>#N/A</v>
      </c>
      <c r="O131" s="152" t="e">
        <f>K112</f>
        <v>#DIV/0!</v>
      </c>
      <c r="R131" s="847" t="e">
        <f t="shared" si="27"/>
        <v>#N/A</v>
      </c>
      <c r="S131" s="847" t="e">
        <f t="shared" si="27"/>
        <v>#DIV/0!</v>
      </c>
      <c r="T131" s="847" t="e">
        <f t="shared" si="28"/>
        <v>#N/A</v>
      </c>
      <c r="U131" s="847" t="e">
        <f t="shared" si="29"/>
        <v>#N/A</v>
      </c>
      <c r="V131" s="846"/>
      <c r="W131" s="846"/>
      <c r="X131" s="846"/>
      <c r="Y131" s="846"/>
      <c r="Z131" s="670"/>
    </row>
    <row r="132" spans="1:26" ht="35.1" customHeight="1" thickBot="1" x14ac:dyDescent="0.25">
      <c r="A132" s="41"/>
      <c r="I132" s="14"/>
      <c r="N132" s="153" t="e">
        <f>G25</f>
        <v>#N/A</v>
      </c>
      <c r="O132" s="154" t="e">
        <f>K113</f>
        <v>#DIV/0!</v>
      </c>
      <c r="R132" s="847" t="e">
        <f t="shared" si="27"/>
        <v>#N/A</v>
      </c>
      <c r="S132" s="847" t="e">
        <f t="shared" si="27"/>
        <v>#DIV/0!</v>
      </c>
      <c r="T132" s="847" t="e">
        <f t="shared" si="28"/>
        <v>#N/A</v>
      </c>
      <c r="U132" s="847" t="e">
        <f t="shared" si="29"/>
        <v>#N/A</v>
      </c>
      <c r="V132" s="846"/>
      <c r="W132" s="846"/>
      <c r="X132" s="846"/>
      <c r="Y132" s="846"/>
      <c r="Z132" s="670"/>
    </row>
    <row r="133" spans="1:26" ht="35.1" customHeight="1" x14ac:dyDescent="0.2">
      <c r="A133" s="41"/>
      <c r="I133" s="14"/>
      <c r="J133" s="14"/>
      <c r="K133" s="14"/>
      <c r="L133" s="14"/>
      <c r="R133" s="847" t="e">
        <f t="shared" si="27"/>
        <v>#N/A</v>
      </c>
      <c r="S133" s="847" t="e">
        <f t="shared" si="27"/>
        <v>#DIV/0!</v>
      </c>
      <c r="T133" s="847" t="e">
        <f t="shared" si="28"/>
        <v>#N/A</v>
      </c>
      <c r="U133" s="847" t="e">
        <f t="shared" si="29"/>
        <v>#N/A</v>
      </c>
      <c r="V133" s="846"/>
      <c r="W133" s="846"/>
      <c r="X133" s="846"/>
      <c r="Y133" s="846"/>
      <c r="Z133" s="670"/>
    </row>
    <row r="134" spans="1:26" ht="43.5" customHeight="1" thickBot="1" x14ac:dyDescent="0.25">
      <c r="A134" s="41"/>
      <c r="I134" s="42"/>
      <c r="J134" s="42"/>
      <c r="K134" s="42"/>
      <c r="L134" s="42"/>
      <c r="R134" s="853" t="e">
        <f>SUM(R129:R133)</f>
        <v>#N/A</v>
      </c>
      <c r="S134" s="853" t="e">
        <f t="shared" ref="S134:U134" si="30">SUM(S129:S133)</f>
        <v>#DIV/0!</v>
      </c>
      <c r="T134" s="853" t="e">
        <f t="shared" si="30"/>
        <v>#N/A</v>
      </c>
      <c r="U134" s="853" t="e">
        <f t="shared" si="30"/>
        <v>#N/A</v>
      </c>
      <c r="V134" s="854" t="s">
        <v>457</v>
      </c>
      <c r="W134" s="855"/>
      <c r="X134" s="855"/>
      <c r="Y134" s="855"/>
      <c r="Z134" s="41"/>
    </row>
    <row r="135" spans="1:26" s="6" customFormat="1" ht="35.1" customHeight="1" thickBot="1" x14ac:dyDescent="0.25">
      <c r="C135" s="518" t="s">
        <v>100</v>
      </c>
      <c r="D135" s="519"/>
      <c r="E135" s="520" t="e">
        <f>C117*C119</f>
        <v>#N/A</v>
      </c>
      <c r="F135" s="521" t="s">
        <v>60</v>
      </c>
      <c r="G135" s="520" t="e">
        <f>C118+C117*C120</f>
        <v>#N/A</v>
      </c>
      <c r="H135" s="523" t="s">
        <v>101</v>
      </c>
      <c r="L135" s="14"/>
      <c r="M135" s="1"/>
      <c r="N135" s="1"/>
      <c r="O135" s="1"/>
      <c r="P135" s="1"/>
      <c r="Q135" s="1"/>
      <c r="R135" s="843"/>
      <c r="S135" s="843"/>
      <c r="T135" s="843"/>
      <c r="U135" s="58"/>
      <c r="V135" s="58"/>
      <c r="W135" s="58"/>
      <c r="X135" s="58"/>
      <c r="Y135" s="58"/>
    </row>
    <row r="136" spans="1:26" s="6" customFormat="1" ht="35.1" customHeight="1" thickBot="1" x14ac:dyDescent="0.25">
      <c r="A136" s="1"/>
      <c r="C136" s="1143" t="s">
        <v>387</v>
      </c>
      <c r="D136" s="1144"/>
      <c r="E136" s="622" t="e">
        <f>D125*D103</f>
        <v>#DIV/0!</v>
      </c>
      <c r="F136" s="522" t="s">
        <v>60</v>
      </c>
      <c r="G136" s="525" t="e">
        <f>D124*D103</f>
        <v>#DIV/0!</v>
      </c>
      <c r="H136" s="524" t="s">
        <v>388</v>
      </c>
      <c r="M136" s="1"/>
      <c r="N136" s="1"/>
      <c r="O136" s="1"/>
      <c r="P136" s="1"/>
      <c r="Q136" s="1"/>
      <c r="R136" s="843"/>
      <c r="S136" s="843"/>
      <c r="T136" s="843"/>
      <c r="U136" s="58"/>
      <c r="V136" s="58"/>
      <c r="W136" s="58"/>
      <c r="X136" s="58"/>
      <c r="Y136" s="58"/>
    </row>
    <row r="137" spans="1:26" ht="35.1" customHeight="1" thickBot="1" x14ac:dyDescent="0.25"/>
    <row r="138" spans="1:26" ht="35.1" customHeight="1" thickBot="1" x14ac:dyDescent="0.25">
      <c r="B138" s="1278" t="s">
        <v>62</v>
      </c>
      <c r="C138" s="1279"/>
      <c r="D138" s="1279"/>
      <c r="E138" s="1279"/>
      <c r="F138" s="1279"/>
      <c r="G138" s="1279"/>
      <c r="H138" s="1279"/>
      <c r="I138" s="1279"/>
      <c r="J138" s="1279"/>
      <c r="K138" s="1279"/>
      <c r="L138" s="1279"/>
      <c r="M138" s="1279"/>
      <c r="N138" s="1279"/>
      <c r="O138" s="1279"/>
      <c r="P138" s="1280"/>
    </row>
    <row r="139" spans="1:26" ht="35.1" customHeight="1" thickBot="1" x14ac:dyDescent="0.25">
      <c r="F139" s="766" t="s">
        <v>396</v>
      </c>
      <c r="H139" s="1"/>
      <c r="O139" s="455"/>
    </row>
    <row r="140" spans="1:26" ht="35.1" customHeight="1" x14ac:dyDescent="0.2">
      <c r="B140" s="1263" t="s">
        <v>392</v>
      </c>
      <c r="C140" s="1264"/>
      <c r="D140" s="1264"/>
      <c r="E140" s="209" t="s">
        <v>92</v>
      </c>
      <c r="F140" s="627" t="e">
        <f>C116</f>
        <v>#N/A</v>
      </c>
      <c r="G140" s="238" t="s">
        <v>243</v>
      </c>
      <c r="I140" s="1263" t="s">
        <v>58</v>
      </c>
      <c r="J140" s="1264"/>
      <c r="K140" s="1264"/>
      <c r="L140" s="408" t="s">
        <v>63</v>
      </c>
      <c r="M140" s="178" t="e">
        <f>D125*D103</f>
        <v>#DIV/0!</v>
      </c>
      <c r="N140" s="210" t="s">
        <v>60</v>
      </c>
      <c r="O140" s="626" t="e">
        <f>D124*D103</f>
        <v>#DIV/0!</v>
      </c>
      <c r="P140" s="236" t="s">
        <v>243</v>
      </c>
    </row>
    <row r="141" spans="1:26" ht="35.1" customHeight="1" thickBot="1" x14ac:dyDescent="0.25">
      <c r="B141" s="1276" t="s">
        <v>392</v>
      </c>
      <c r="C141" s="1277"/>
      <c r="D141" s="1277"/>
      <c r="E141" s="242" t="s">
        <v>244</v>
      </c>
      <c r="F141" s="628" t="e">
        <f>F140</f>
        <v>#N/A</v>
      </c>
      <c r="G141" s="239" t="s">
        <v>61</v>
      </c>
      <c r="I141" s="1228" t="s">
        <v>58</v>
      </c>
      <c r="J141" s="1229"/>
      <c r="K141" s="1229"/>
      <c r="L141" s="241" t="s">
        <v>239</v>
      </c>
      <c r="M141" s="701" t="e">
        <f>M140/1000</f>
        <v>#DIV/0!</v>
      </c>
      <c r="N141" s="211" t="s">
        <v>60</v>
      </c>
      <c r="O141" s="625" t="e">
        <f>O140/1000</f>
        <v>#DIV/0!</v>
      </c>
      <c r="P141" s="237" t="s">
        <v>61</v>
      </c>
    </row>
    <row r="142" spans="1:26" ht="35.1" customHeight="1" x14ac:dyDescent="0.2">
      <c r="J142" s="1"/>
    </row>
    <row r="143" spans="1:26" ht="35.1" customHeight="1" x14ac:dyDescent="0.2">
      <c r="F143" s="545"/>
      <c r="J143" s="1"/>
      <c r="K143" s="1"/>
    </row>
    <row r="144" spans="1:26" ht="35.1" customHeight="1" x14ac:dyDescent="0.2">
      <c r="F144" s="404"/>
      <c r="H144" s="43"/>
      <c r="O144" s="229"/>
    </row>
  </sheetData>
  <sheetProtection password="CF5C" sheet="1" objects="1" scenarios="1"/>
  <dataConsolidate>
    <dataRefs count="2">
      <dataRef ref="C5:D7" sheet="DATOS DE LOS PATRONES " r:id="rId1"/>
      <dataRef ref="K5:L7" sheet="DATOS DE LOS PATRONES " r:id="rId2"/>
    </dataRefs>
  </dataConsolidate>
  <mergeCells count="124">
    <mergeCell ref="B107:B108"/>
    <mergeCell ref="A67:L67"/>
    <mergeCell ref="G13:H13"/>
    <mergeCell ref="J5:J6"/>
    <mergeCell ref="B53:E53"/>
    <mergeCell ref="I140:K140"/>
    <mergeCell ref="E125:F125"/>
    <mergeCell ref="E124:F124"/>
    <mergeCell ref="G53:L53"/>
    <mergeCell ref="F86:J86"/>
    <mergeCell ref="F103:H103"/>
    <mergeCell ref="F97:J97"/>
    <mergeCell ref="F92:J92"/>
    <mergeCell ref="A93:C93"/>
    <mergeCell ref="A94:C94"/>
    <mergeCell ref="A95:C95"/>
    <mergeCell ref="D93:E93"/>
    <mergeCell ref="D94:E94"/>
    <mergeCell ref="A76:B76"/>
    <mergeCell ref="A75:B75"/>
    <mergeCell ref="K91:K92"/>
    <mergeCell ref="L91:L92"/>
    <mergeCell ref="B65:C65"/>
    <mergeCell ref="B123:P123"/>
    <mergeCell ref="B138:P138"/>
    <mergeCell ref="J107:J108"/>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B31:I31"/>
    <mergeCell ref="C98:E98"/>
    <mergeCell ref="N91:N92"/>
    <mergeCell ref="O91:O92"/>
    <mergeCell ref="B42:J42"/>
    <mergeCell ref="N54:O54"/>
    <mergeCell ref="O84:Q84"/>
    <mergeCell ref="I141:K141"/>
    <mergeCell ref="B13:C13"/>
    <mergeCell ref="G12:H12"/>
    <mergeCell ref="B14:C14"/>
    <mergeCell ref="A89:C89"/>
    <mergeCell ref="A88:C88"/>
    <mergeCell ref="B96:E96"/>
    <mergeCell ref="D90:E90"/>
    <mergeCell ref="D88:E88"/>
    <mergeCell ref="D89:E89"/>
    <mergeCell ref="F83:J83"/>
    <mergeCell ref="C81:E81"/>
    <mergeCell ref="C82:E82"/>
    <mergeCell ref="A81:B81"/>
    <mergeCell ref="A90:C90"/>
    <mergeCell ref="A80:B80"/>
    <mergeCell ref="C79:E79"/>
    <mergeCell ref="A79:B79"/>
    <mergeCell ref="B140:D140"/>
    <mergeCell ref="K120:M120"/>
    <mergeCell ref="B29:C29"/>
    <mergeCell ref="B21:C23"/>
    <mergeCell ref="B64:C64"/>
    <mergeCell ref="B141:D141"/>
    <mergeCell ref="B12:C12"/>
    <mergeCell ref="G8:J8"/>
    <mergeCell ref="I9:J9"/>
    <mergeCell ref="G9:H9"/>
    <mergeCell ref="B8:E8"/>
    <mergeCell ref="B9:C9"/>
    <mergeCell ref="B10:C10"/>
    <mergeCell ref="B11:C11"/>
    <mergeCell ref="G10:H10"/>
    <mergeCell ref="I10:J10"/>
    <mergeCell ref="I11:J11"/>
    <mergeCell ref="I12:J12"/>
    <mergeCell ref="I13:J13"/>
    <mergeCell ref="B27:K27"/>
    <mergeCell ref="G28:H28"/>
    <mergeCell ref="F29:G29"/>
    <mergeCell ref="K31:L31"/>
    <mergeCell ref="M91:M92"/>
    <mergeCell ref="G14:H14"/>
    <mergeCell ref="I14:J14"/>
    <mergeCell ref="C80:E80"/>
    <mergeCell ref="F72:J72"/>
    <mergeCell ref="F87:J87"/>
    <mergeCell ref="B52:L52"/>
    <mergeCell ref="B61:I61"/>
    <mergeCell ref="F78:J78"/>
    <mergeCell ref="F69:J69"/>
    <mergeCell ref="M42:O49"/>
    <mergeCell ref="P91:P92"/>
    <mergeCell ref="D95:E95"/>
    <mergeCell ref="N52:O52"/>
    <mergeCell ref="A1:C3"/>
    <mergeCell ref="D1:Q3"/>
    <mergeCell ref="C136:D136"/>
    <mergeCell ref="L107:L108"/>
    <mergeCell ref="M107:M108"/>
    <mergeCell ref="K118:M118"/>
    <mergeCell ref="C107:C108"/>
    <mergeCell ref="D107:D108"/>
    <mergeCell ref="G11:H11"/>
    <mergeCell ref="B15:C15"/>
    <mergeCell ref="B105:P105"/>
    <mergeCell ref="G15:H15"/>
    <mergeCell ref="I15:J15"/>
    <mergeCell ref="F107:F108"/>
    <mergeCell ref="A73:B73"/>
    <mergeCell ref="A74:B74"/>
    <mergeCell ref="A72:E72"/>
    <mergeCell ref="H107:H108"/>
    <mergeCell ref="I107:I108"/>
    <mergeCell ref="M41:O41"/>
    <mergeCell ref="F100:J100"/>
  </mergeCells>
  <conditionalFormatting sqref="K120">
    <cfRule type="cellIs" dxfId="0" priority="2" operator="greaterThan">
      <formula>$K$119</formula>
    </cfRule>
  </conditionalFormatting>
  <printOptions horizontalCentered="1"/>
  <pageMargins left="0.23622047244094491" right="0.23622047244094491" top="0.74803149606299213" bottom="0.74803149606299213" header="0.31496062992125984" footer="0.31496062992125984"/>
  <pageSetup scale="35" orientation="portrait" r:id="rId3"/>
  <headerFooter>
    <oddFooter>&amp;RRT03-F12 Vr.11 (2020-05-09)
Página &amp;P de 3</oddFooter>
  </headerFooter>
  <rowBreaks count="2" manualBreakCount="2">
    <brk id="50" max="16383" man="1"/>
    <brk id="104" max="16" man="1"/>
  </rowBreaks>
  <drawing r:id="rId4"/>
  <legacyDrawing r:id="rId5"/>
  <extLst>
    <ext xmlns:x14="http://schemas.microsoft.com/office/spreadsheetml/2009/9/main" uri="{CCE6A557-97BC-4b89-ADB6-D9C93CAAB3DF}">
      <x14:dataValidations xmlns:xm="http://schemas.microsoft.com/office/excel/2006/main" count="8">
        <x14:dataValidation type="list" allowBlank="1" showInputMessage="1" showErrorMessage="1">
          <x14:formula1>
            <xm:f>'DATOS @ '!$C$27:$C$88</xm:f>
          </x14:formula1>
          <xm:sqref>E24 K21:K25</xm:sqref>
        </x14:dataValidation>
        <x14:dataValidation type="list" allowBlank="1" showInputMessage="1" showErrorMessage="1">
          <x14:formula1>
            <xm:f>'DATOS @ '!$C$7:$C$9</xm:f>
          </x14:formula1>
          <xm:sqref>J5:J6</xm:sqref>
        </x14:dataValidation>
        <x14:dataValidation type="list" allowBlank="1" showInputMessage="1" showErrorMessage="1">
          <x14:formula1>
            <xm:f>'DATOS @ '!$C$16:$C$22</xm:f>
          </x14:formula1>
          <xm:sqref>F8</xm:sqref>
        </x14:dataValidation>
        <x14:dataValidation type="list" allowBlank="1" showInputMessage="1" showErrorMessage="1">
          <x14:formula1>
            <xm:f>'DATOS @ '!$B$27:$B$88</xm:f>
          </x14:formula1>
          <xm:sqref>K8</xm:sqref>
        </x14:dataValidation>
        <x14:dataValidation type="list" allowBlank="1" showInputMessage="1" showErrorMessage="1">
          <x14:formula1>
            <xm:f>'DATOS @ '!$K$27:$K$45</xm:f>
          </x14:formula1>
          <xm:sqref>E19</xm:sqref>
        </x14:dataValidation>
        <x14:dataValidation type="list" allowBlank="1" showInputMessage="1" showErrorMessage="1">
          <x14:formula1>
            <xm:f>'DATOS @ '!$L$27:$L$52</xm:f>
          </x14:formula1>
          <xm:sqref>D22:F22</xm:sqref>
        </x14:dataValidation>
        <x14:dataValidation type="list" allowBlank="1" showInputMessage="1" showErrorMessage="1">
          <x14:formula1>
            <xm:f>'DATOS @ '!$G$160:$G$165</xm:f>
          </x14:formula1>
          <xm:sqref>K28:K29</xm:sqref>
        </x14:dataValidation>
        <x14:dataValidation type="list" allowBlank="1" showInputMessage="1" showErrorMessage="1">
          <x14:formula1>
            <xm:f>'DATOS @ '!$A$156:$A$159</xm:f>
          </x14:formula1>
          <xm:sqref>N52:O52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89"/>
  <sheetViews>
    <sheetView showGridLines="0" tabSelected="1" showRuler="0" showWhiteSpace="0" view="pageBreakPreview" topLeftCell="A16" zoomScaleNormal="110" zoomScaleSheetLayoutView="100" zoomScalePageLayoutView="85" workbookViewId="0">
      <selection activeCell="H6" sqref="H6"/>
    </sheetView>
  </sheetViews>
  <sheetFormatPr baseColWidth="10" defaultRowHeight="15" customHeight="1" x14ac:dyDescent="0.2"/>
  <cols>
    <col min="1" max="1" width="2" style="60" customWidth="1"/>
    <col min="2" max="2" width="16.85546875" style="60" customWidth="1"/>
    <col min="3" max="3" width="19.5703125" style="60" customWidth="1"/>
    <col min="4" max="6" width="17.7109375" style="60" customWidth="1"/>
    <col min="7" max="7" width="21.28515625" style="60" customWidth="1"/>
    <col min="8" max="14" width="11.42578125" style="60"/>
    <col min="15" max="15" width="7.140625" style="60" customWidth="1"/>
    <col min="16" max="18" width="11.42578125" style="60" hidden="1" customWidth="1"/>
    <col min="19" max="16384" width="11.42578125" style="60"/>
  </cols>
  <sheetData>
    <row r="1" spans="1:7" ht="120" customHeight="1" x14ac:dyDescent="0.2">
      <c r="A1" s="1377"/>
      <c r="B1" s="1377"/>
      <c r="C1" s="1377"/>
      <c r="D1" s="1377"/>
      <c r="E1" s="1377"/>
      <c r="F1" s="1377"/>
      <c r="G1" s="1377"/>
    </row>
    <row r="2" spans="1:7" ht="23.1" customHeight="1" x14ac:dyDescent="0.2">
      <c r="A2" s="887"/>
      <c r="B2" s="887"/>
      <c r="C2" s="887"/>
    </row>
    <row r="3" spans="1:7" ht="23.1" customHeight="1" x14ac:dyDescent="0.2">
      <c r="A3" s="887"/>
      <c r="B3" s="887"/>
      <c r="C3" s="887"/>
      <c r="E3" s="1370" t="s">
        <v>262</v>
      </c>
      <c r="F3" s="1370"/>
      <c r="G3" s="417" t="e">
        <f>'RT03-F12 @'!I6</f>
        <v>#N/A</v>
      </c>
    </row>
    <row r="4" spans="1:7" ht="20.100000000000001" customHeight="1" x14ac:dyDescent="0.2">
      <c r="A4" s="1381" t="s">
        <v>66</v>
      </c>
      <c r="B4" s="1381"/>
      <c r="C4" s="1381"/>
      <c r="D4" s="1381"/>
    </row>
    <row r="5" spans="1:7" ht="15.75" customHeight="1" x14ac:dyDescent="0.2">
      <c r="A5" s="418"/>
      <c r="B5" s="418"/>
      <c r="C5" s="888"/>
      <c r="D5" s="888"/>
      <c r="E5" s="888"/>
      <c r="F5" s="888"/>
      <c r="G5" s="888"/>
    </row>
    <row r="6" spans="1:7" ht="33" customHeight="1" x14ac:dyDescent="0.2">
      <c r="A6" s="1380" t="s">
        <v>251</v>
      </c>
      <c r="B6" s="1380"/>
      <c r="C6" s="1380"/>
      <c r="D6" s="1383" t="e">
        <f>'RT03-F12 @'!G6</f>
        <v>#N/A</v>
      </c>
      <c r="E6" s="1384"/>
      <c r="F6" s="1384"/>
      <c r="G6" s="1384"/>
    </row>
    <row r="7" spans="1:7" ht="23.1" customHeight="1" x14ac:dyDescent="0.2">
      <c r="A7" s="1380" t="s">
        <v>67</v>
      </c>
      <c r="B7" s="1380"/>
      <c r="C7" s="1380"/>
      <c r="D7" s="1392" t="e">
        <f>'RT03-F12 @'!H6</f>
        <v>#N/A</v>
      </c>
      <c r="E7" s="1392"/>
      <c r="F7" s="1392"/>
      <c r="G7" s="1392"/>
    </row>
    <row r="8" spans="1:7" ht="23.1" customHeight="1" x14ac:dyDescent="0.2">
      <c r="A8" s="1380" t="s">
        <v>68</v>
      </c>
      <c r="B8" s="1380"/>
      <c r="C8" s="1380"/>
      <c r="D8" s="1383" t="e">
        <f>'RT03-F12 @'!B6</f>
        <v>#N/A</v>
      </c>
      <c r="E8" s="1384"/>
      <c r="F8" s="877"/>
      <c r="G8" s="877"/>
    </row>
    <row r="9" spans="1:7" ht="15" customHeight="1" x14ac:dyDescent="0.2">
      <c r="A9" s="875"/>
      <c r="B9" s="875"/>
      <c r="C9" s="875"/>
      <c r="D9" s="882"/>
      <c r="E9" s="875"/>
      <c r="F9" s="419"/>
      <c r="G9" s="419"/>
    </row>
    <row r="10" spans="1:7" ht="23.1" customHeight="1" x14ac:dyDescent="0.2">
      <c r="A10" s="1380" t="s">
        <v>69</v>
      </c>
      <c r="B10" s="1380"/>
      <c r="C10" s="1380"/>
      <c r="D10" s="420" t="e">
        <f>'RT03-F12 @'!C6</f>
        <v>#N/A</v>
      </c>
      <c r="E10" s="1391" t="s">
        <v>71</v>
      </c>
      <c r="F10" s="1391"/>
      <c r="G10" s="420" t="e">
        <f>'RT03-F12 @'!F6</f>
        <v>#N/A</v>
      </c>
    </row>
    <row r="11" spans="1:7" ht="15" customHeight="1" x14ac:dyDescent="0.2">
      <c r="A11" s="875"/>
      <c r="B11" s="875"/>
      <c r="C11" s="875"/>
      <c r="D11" s="420"/>
      <c r="E11" s="881"/>
      <c r="F11" s="881"/>
      <c r="G11" s="420"/>
    </row>
    <row r="12" spans="1:7" ht="23.1" customHeight="1" x14ac:dyDescent="0.2">
      <c r="A12" s="1381" t="s">
        <v>284</v>
      </c>
      <c r="B12" s="1381"/>
      <c r="C12" s="1381"/>
      <c r="D12" s="1381"/>
      <c r="E12" s="1381"/>
      <c r="F12" s="1381"/>
      <c r="G12" s="1381"/>
    </row>
    <row r="13" spans="1:7" ht="12" customHeight="1" x14ac:dyDescent="0.2">
      <c r="A13" s="875"/>
      <c r="B13" s="875"/>
      <c r="C13" s="875"/>
      <c r="D13" s="875"/>
      <c r="E13" s="875"/>
      <c r="F13" s="419"/>
      <c r="G13" s="419"/>
    </row>
    <row r="14" spans="1:7" ht="23.1" customHeight="1" x14ac:dyDescent="0.2">
      <c r="A14" s="1380" t="s">
        <v>303</v>
      </c>
      <c r="B14" s="1380"/>
      <c r="C14" s="1380"/>
      <c r="D14" s="1379" t="s">
        <v>455</v>
      </c>
      <c r="E14" s="1379"/>
      <c r="F14" s="419"/>
      <c r="G14" s="419"/>
    </row>
    <row r="15" spans="1:7" ht="23.1" customHeight="1" x14ac:dyDescent="0.2">
      <c r="A15" s="1380" t="s">
        <v>304</v>
      </c>
      <c r="B15" s="1380"/>
      <c r="C15" s="1380"/>
      <c r="D15" s="1380" t="e">
        <f>'RT03-F12 @'!D9</f>
        <v>#N/A</v>
      </c>
      <c r="E15" s="1380"/>
      <c r="F15" s="419"/>
      <c r="G15" s="419"/>
    </row>
    <row r="16" spans="1:7" ht="23.1" customHeight="1" x14ac:dyDescent="0.2">
      <c r="A16" s="1380" t="s">
        <v>438</v>
      </c>
      <c r="B16" s="1380"/>
      <c r="C16" s="1380"/>
      <c r="D16" s="1380" t="e">
        <f>'RT03-F12 @'!D11</f>
        <v>#N/A</v>
      </c>
      <c r="E16" s="1380"/>
      <c r="F16" s="1380"/>
      <c r="G16" s="1380"/>
    </row>
    <row r="17" spans="1:7" ht="23.1" customHeight="1" x14ac:dyDescent="0.2">
      <c r="A17" s="1380" t="s">
        <v>305</v>
      </c>
      <c r="B17" s="1380"/>
      <c r="C17" s="1380"/>
      <c r="D17" s="1380" t="e">
        <f>'RT03-F12 @'!D10</f>
        <v>#N/A</v>
      </c>
      <c r="E17" s="1380"/>
      <c r="F17" s="419"/>
      <c r="G17" s="419"/>
    </row>
    <row r="18" spans="1:7" ht="23.1" customHeight="1" x14ac:dyDescent="0.2">
      <c r="A18" s="1380" t="s">
        <v>306</v>
      </c>
      <c r="B18" s="1380"/>
      <c r="C18" s="1380"/>
      <c r="D18" s="422" t="e">
        <f>'RT03-F12 @'!D12</f>
        <v>#N/A</v>
      </c>
      <c r="E18" s="875"/>
      <c r="F18" s="423"/>
      <c r="G18" s="875"/>
    </row>
    <row r="19" spans="1:7" ht="23.1" customHeight="1" x14ac:dyDescent="0.2">
      <c r="A19" s="1385" t="s">
        <v>307</v>
      </c>
      <c r="B19" s="1385"/>
      <c r="C19" s="1385"/>
      <c r="D19" s="424" t="e">
        <f>'RT03-F12 @'!D13</f>
        <v>#N/A</v>
      </c>
      <c r="E19" s="878"/>
      <c r="F19" s="878"/>
      <c r="G19" s="878"/>
    </row>
    <row r="20" spans="1:7" ht="23.1" customHeight="1" x14ac:dyDescent="0.2">
      <c r="A20" s="1385" t="s">
        <v>308</v>
      </c>
      <c r="B20" s="1385"/>
      <c r="C20" s="1385"/>
      <c r="D20" s="425" t="e">
        <f>'RT03-F12 @'!D14</f>
        <v>#N/A</v>
      </c>
      <c r="E20" s="878"/>
      <c r="F20" s="878"/>
      <c r="G20" s="878"/>
    </row>
    <row r="21" spans="1:7" ht="23.1" customHeight="1" x14ac:dyDescent="0.2">
      <c r="A21" s="1385" t="s">
        <v>309</v>
      </c>
      <c r="B21" s="1385"/>
      <c r="C21" s="1385"/>
      <c r="D21" s="424" t="e">
        <f>'RT03-F12 @'!D15</f>
        <v>#N/A</v>
      </c>
      <c r="E21" s="878"/>
      <c r="F21" s="878"/>
      <c r="G21" s="878"/>
    </row>
    <row r="22" spans="1:7" ht="23.1" customHeight="1" x14ac:dyDescent="0.2"/>
    <row r="23" spans="1:7" ht="23.1" customHeight="1" x14ac:dyDescent="0.2">
      <c r="A23" s="1381" t="s">
        <v>285</v>
      </c>
      <c r="B23" s="1381"/>
      <c r="C23" s="1381"/>
      <c r="D23" s="1381"/>
      <c r="E23" s="1381"/>
      <c r="F23" s="1381"/>
      <c r="G23" s="1381"/>
    </row>
    <row r="24" spans="1:7" ht="12" customHeight="1" x14ac:dyDescent="0.2">
      <c r="A24" s="876"/>
      <c r="B24" s="876"/>
      <c r="C24" s="876"/>
      <c r="D24" s="876"/>
      <c r="E24" s="876"/>
      <c r="F24" s="876"/>
      <c r="G24" s="876"/>
    </row>
    <row r="25" spans="1:7" ht="23.1" customHeight="1" x14ac:dyDescent="0.2">
      <c r="A25" s="1393" t="e">
        <f>'RT03-F12 @'!E6</f>
        <v>#N/A</v>
      </c>
      <c r="B25" s="1393"/>
      <c r="C25" s="1393"/>
      <c r="D25" s="1393"/>
      <c r="E25" s="1393"/>
      <c r="F25" s="1393"/>
      <c r="G25" s="1393"/>
    </row>
    <row r="26" spans="1:7" ht="23.1" customHeight="1" x14ac:dyDescent="0.2">
      <c r="A26" s="426"/>
      <c r="B26" s="426"/>
      <c r="C26" s="888"/>
      <c r="D26" s="426"/>
      <c r="E26" s="888"/>
      <c r="F26" s="427"/>
      <c r="G26" s="427"/>
    </row>
    <row r="27" spans="1:7" ht="23.1" customHeight="1" x14ac:dyDescent="0.2">
      <c r="A27" s="1381" t="s">
        <v>286</v>
      </c>
      <c r="B27" s="1381"/>
      <c r="C27" s="1381"/>
      <c r="D27" s="1382" t="e">
        <f>'RT03-F12 @'!D6</f>
        <v>#N/A</v>
      </c>
      <c r="E27" s="1382"/>
      <c r="F27" s="1382"/>
      <c r="G27" s="427"/>
    </row>
    <row r="28" spans="1:7" ht="23.1" customHeight="1" x14ac:dyDescent="0.2">
      <c r="E28" s="428"/>
      <c r="F28" s="888"/>
      <c r="G28" s="888"/>
    </row>
    <row r="29" spans="1:7" ht="23.1" customHeight="1" x14ac:dyDescent="0.2">
      <c r="A29" s="1397" t="s">
        <v>287</v>
      </c>
      <c r="B29" s="1397"/>
      <c r="C29" s="1397"/>
      <c r="D29" s="1397"/>
      <c r="E29" s="1397"/>
      <c r="F29" s="1397"/>
      <c r="G29" s="1397"/>
    </row>
    <row r="30" spans="1:7" ht="15" customHeight="1" x14ac:dyDescent="0.2">
      <c r="A30" s="429"/>
      <c r="B30" s="429"/>
      <c r="C30" s="429"/>
      <c r="D30" s="429"/>
      <c r="E30" s="428"/>
      <c r="F30" s="888"/>
      <c r="G30" s="888"/>
    </row>
    <row r="31" spans="1:7" s="922" customFormat="1" ht="33" customHeight="1" x14ac:dyDescent="0.2">
      <c r="A31" s="1390" t="s">
        <v>325</v>
      </c>
      <c r="B31" s="1390"/>
      <c r="C31" s="1390"/>
      <c r="D31" s="1390"/>
      <c r="E31" s="1390"/>
      <c r="F31" s="1390"/>
      <c r="G31" s="1390"/>
    </row>
    <row r="32" spans="1:7" ht="25.5" customHeight="1" x14ac:dyDescent="0.2">
      <c r="A32" s="767"/>
      <c r="B32" s="767"/>
      <c r="C32" s="767"/>
      <c r="D32" s="767"/>
      <c r="E32" s="767"/>
      <c r="F32" s="767"/>
      <c r="G32" s="767"/>
    </row>
    <row r="33" spans="1:8" ht="15" customHeight="1" x14ac:dyDescent="0.2">
      <c r="A33" s="430"/>
      <c r="B33" s="430"/>
      <c r="C33" s="430"/>
      <c r="D33" s="430"/>
      <c r="E33" s="430"/>
      <c r="F33" s="430"/>
      <c r="G33" s="430"/>
    </row>
    <row r="34" spans="1:8" ht="23.1" customHeight="1" x14ac:dyDescent="0.2">
      <c r="A34" s="1381" t="s">
        <v>395</v>
      </c>
      <c r="B34" s="1381"/>
      <c r="C34" s="1381"/>
      <c r="D34" s="1381"/>
      <c r="E34" s="1381"/>
      <c r="F34" s="1381"/>
      <c r="G34" s="1381"/>
    </row>
    <row r="35" spans="1:8" ht="30" customHeight="1" thickBot="1" x14ac:dyDescent="0.25">
      <c r="A35" s="876"/>
      <c r="B35" s="876"/>
      <c r="C35" s="876"/>
      <c r="D35" s="876"/>
      <c r="E35" s="876"/>
      <c r="G35" s="611"/>
    </row>
    <row r="36" spans="1:8" ht="33" customHeight="1" thickBot="1" x14ac:dyDescent="0.25">
      <c r="A36" s="768"/>
      <c r="B36" s="768"/>
      <c r="C36" s="768"/>
      <c r="D36" s="769" t="s">
        <v>5</v>
      </c>
      <c r="E36" s="769" t="s">
        <v>435</v>
      </c>
      <c r="F36" s="770" t="s">
        <v>4</v>
      </c>
      <c r="G36" s="876"/>
    </row>
    <row r="37" spans="1:8" ht="33" customHeight="1" thickBot="1" x14ac:dyDescent="0.25">
      <c r="A37" s="1341" t="s">
        <v>411</v>
      </c>
      <c r="B37" s="1342"/>
      <c r="C37" s="1389"/>
      <c r="D37" s="771" t="e">
        <f>'RT03-F12 @'!E64</f>
        <v>#N/A</v>
      </c>
      <c r="E37" s="772" t="e">
        <f>'RT03-F12 @'!G64</f>
        <v>#N/A</v>
      </c>
      <c r="F37" s="441" t="e">
        <f>'RT03-F12 @'!I64</f>
        <v>#N/A</v>
      </c>
      <c r="G37" s="876"/>
    </row>
    <row r="38" spans="1:8" ht="33" customHeight="1" thickBot="1" x14ac:dyDescent="0.25">
      <c r="A38" s="1341" t="s">
        <v>412</v>
      </c>
      <c r="B38" s="1342"/>
      <c r="C38" s="1389"/>
      <c r="D38" s="773" t="e">
        <f>'RT03-F12 @'!E65</f>
        <v>#N/A</v>
      </c>
      <c r="E38" s="774" t="e">
        <f>'RT03-F12 @'!G65</f>
        <v>#N/A</v>
      </c>
      <c r="F38" s="774" t="e">
        <f>'RT03-F12 @'!I65</f>
        <v>#N/A</v>
      </c>
      <c r="G38" s="876"/>
    </row>
    <row r="39" spans="1:8" ht="27.75" customHeight="1" x14ac:dyDescent="0.2">
      <c r="A39" s="1398" t="s">
        <v>434</v>
      </c>
      <c r="B39" s="1398"/>
      <c r="C39" s="1398"/>
      <c r="D39" s="1398"/>
      <c r="E39" s="1398"/>
      <c r="F39" s="1398"/>
      <c r="G39" s="1398"/>
    </row>
    <row r="41" spans="1:8" ht="120" customHeight="1" x14ac:dyDescent="0.2">
      <c r="A41" s="1419"/>
      <c r="B41" s="1419"/>
      <c r="C41" s="1419"/>
      <c r="D41" s="1419"/>
      <c r="E41" s="1419"/>
      <c r="F41" s="1419"/>
      <c r="G41" s="1419"/>
      <c r="H41" s="618"/>
    </row>
    <row r="42" spans="1:8" ht="23.1" customHeight="1" x14ac:dyDescent="0.2">
      <c r="A42" s="872"/>
      <c r="B42" s="872"/>
      <c r="C42" s="872"/>
      <c r="D42" s="872"/>
    </row>
    <row r="43" spans="1:8" ht="23.1" customHeight="1" x14ac:dyDescent="0.2">
      <c r="A43" s="872"/>
      <c r="B43" s="872"/>
      <c r="C43" s="872"/>
      <c r="D43" s="872"/>
      <c r="E43" s="1370" t="s">
        <v>262</v>
      </c>
      <c r="F43" s="1370"/>
      <c r="G43" s="417" t="e">
        <f>G3</f>
        <v>#N/A</v>
      </c>
    </row>
    <row r="44" spans="1:8" ht="23.1" customHeight="1" x14ac:dyDescent="0.2">
      <c r="A44" s="1386" t="s">
        <v>298</v>
      </c>
      <c r="B44" s="1386"/>
      <c r="C44" s="1386"/>
      <c r="D44" s="1386"/>
      <c r="E44" s="1386"/>
      <c r="F44" s="1386"/>
      <c r="G44" s="1386"/>
    </row>
    <row r="45" spans="1:8" ht="12" customHeight="1" x14ac:dyDescent="0.2">
      <c r="A45" s="879"/>
      <c r="B45" s="879"/>
      <c r="C45" s="879"/>
      <c r="D45" s="879"/>
      <c r="E45" s="879"/>
      <c r="F45" s="879"/>
      <c r="G45" s="879"/>
    </row>
    <row r="46" spans="1:8" s="922" customFormat="1" ht="48" customHeight="1" x14ac:dyDescent="0.2">
      <c r="A46" s="1334" t="s">
        <v>288</v>
      </c>
      <c r="B46" s="1334"/>
      <c r="C46" s="1334"/>
      <c r="D46" s="1334"/>
      <c r="E46" s="1334"/>
      <c r="F46" s="1334"/>
      <c r="G46" s="1334"/>
    </row>
    <row r="47" spans="1:8" ht="12" customHeight="1" thickBot="1" x14ac:dyDescent="0.25">
      <c r="A47" s="431"/>
      <c r="B47" s="431"/>
      <c r="C47" s="431"/>
      <c r="D47" s="431"/>
      <c r="E47" s="431"/>
      <c r="F47" s="431"/>
      <c r="G47" s="431"/>
    </row>
    <row r="48" spans="1:8" ht="30" customHeight="1" thickBot="1" x14ac:dyDescent="0.25">
      <c r="A48" s="1399" t="s">
        <v>300</v>
      </c>
      <c r="B48" s="1400"/>
      <c r="C48" s="1401"/>
      <c r="D48" s="1405" t="e">
        <f>'RT03-F12 @'!I11</f>
        <v>#N/A</v>
      </c>
      <c r="E48" s="1406"/>
      <c r="F48" s="872"/>
      <c r="G48" s="872"/>
    </row>
    <row r="49" spans="1:7" ht="30" customHeight="1" thickBot="1" x14ac:dyDescent="0.25">
      <c r="A49" s="1399" t="s">
        <v>299</v>
      </c>
      <c r="B49" s="1400"/>
      <c r="C49" s="1401"/>
      <c r="D49" s="1407" t="s">
        <v>454</v>
      </c>
      <c r="E49" s="1408"/>
      <c r="F49" s="888"/>
      <c r="G49" s="888"/>
    </row>
    <row r="50" spans="1:7" ht="30" customHeight="1" thickBot="1" x14ac:dyDescent="0.25">
      <c r="A50" s="1399" t="s">
        <v>302</v>
      </c>
      <c r="B50" s="1400"/>
      <c r="C50" s="1401"/>
      <c r="D50" s="1409" t="e">
        <f>'RT03-F12 @'!I12</f>
        <v>#N/A</v>
      </c>
      <c r="E50" s="1410"/>
      <c r="F50" s="888"/>
      <c r="G50" s="888"/>
    </row>
    <row r="51" spans="1:7" ht="30" customHeight="1" thickBot="1" x14ac:dyDescent="0.25">
      <c r="A51" s="1402" t="s">
        <v>184</v>
      </c>
      <c r="B51" s="1403"/>
      <c r="C51" s="1404"/>
      <c r="D51" s="1411" t="e">
        <f>'RT03-F12 @'!I13</f>
        <v>#N/A</v>
      </c>
      <c r="E51" s="1412"/>
      <c r="F51" s="888"/>
      <c r="G51" s="888"/>
    </row>
    <row r="52" spans="1:7" ht="30" customHeight="1" thickBot="1" x14ac:dyDescent="0.25">
      <c r="A52" s="821" t="s">
        <v>246</v>
      </c>
      <c r="B52" s="821"/>
      <c r="C52" s="822"/>
      <c r="D52" s="1413" t="e">
        <f>'RT03-F12 @'!I15</f>
        <v>#N/A</v>
      </c>
      <c r="E52" s="1414"/>
      <c r="F52" s="888"/>
      <c r="G52" s="888"/>
    </row>
    <row r="53" spans="1:7" ht="30" customHeight="1" thickBot="1" x14ac:dyDescent="0.25">
      <c r="A53" s="1399" t="s">
        <v>301</v>
      </c>
      <c r="B53" s="1400"/>
      <c r="C53" s="1401"/>
      <c r="D53" s="1407" t="e">
        <f>'RT03-F12 @'!G21&amp;" g  - "&amp;'RT03-F12 @'!B26&amp;" g  - "&amp;'RT03-F12 @'!G22/1000&amp;" kg  - "&amp;'RT03-F12 @'!G23/1000&amp;" kg  - "&amp;'RT03-F12 @'!G24/1000&amp;" kg "</f>
        <v>#N/A</v>
      </c>
      <c r="E53" s="1408"/>
      <c r="F53" s="888"/>
      <c r="G53" s="888"/>
    </row>
    <row r="54" spans="1:7" ht="30" customHeight="1" x14ac:dyDescent="0.2">
      <c r="A54" s="876"/>
      <c r="B54" s="876"/>
      <c r="C54" s="876"/>
      <c r="D54" s="875"/>
      <c r="E54" s="875"/>
      <c r="F54" s="888"/>
      <c r="G54" s="888"/>
    </row>
    <row r="55" spans="1:7" ht="23.1" customHeight="1" x14ac:dyDescent="0.2">
      <c r="A55" s="1386" t="s">
        <v>289</v>
      </c>
      <c r="B55" s="1386"/>
      <c r="C55" s="1386"/>
      <c r="D55" s="1386"/>
      <c r="E55" s="1386"/>
      <c r="F55" s="1386"/>
      <c r="G55" s="1386"/>
    </row>
    <row r="56" spans="1:7" ht="12" customHeight="1" x14ac:dyDescent="0.2">
      <c r="A56" s="872"/>
      <c r="B56" s="872"/>
      <c r="C56" s="872"/>
      <c r="D56" s="872"/>
      <c r="E56" s="872"/>
      <c r="F56" s="872"/>
      <c r="G56" s="872"/>
    </row>
    <row r="57" spans="1:7" ht="20.100000000000001" customHeight="1" x14ac:dyDescent="0.2">
      <c r="A57" s="1371" t="s">
        <v>73</v>
      </c>
      <c r="B57" s="1371"/>
      <c r="C57" s="1371"/>
      <c r="D57" s="1371"/>
      <c r="E57" s="872"/>
      <c r="F57" s="541"/>
      <c r="G57" s="872"/>
    </row>
    <row r="58" spans="1:7" ht="12" customHeight="1" thickBot="1" x14ac:dyDescent="0.25">
      <c r="A58" s="872"/>
      <c r="B58" s="872"/>
      <c r="C58" s="872"/>
      <c r="D58" s="872"/>
      <c r="E58" s="888"/>
      <c r="F58" s="888"/>
      <c r="G58" s="888"/>
    </row>
    <row r="59" spans="1:7" ht="30" customHeight="1" thickBot="1" x14ac:dyDescent="0.25">
      <c r="A59" s="1415" t="s">
        <v>257</v>
      </c>
      <c r="B59" s="1416"/>
      <c r="C59" s="1417"/>
      <c r="D59" s="1418"/>
      <c r="E59" s="872"/>
      <c r="F59" s="872"/>
      <c r="G59" s="872"/>
    </row>
    <row r="60" spans="1:7" ht="30" customHeight="1" thickBot="1" x14ac:dyDescent="0.25">
      <c r="A60" s="1387" t="str">
        <f>'RT03-F12 @'!C34</f>
        <v>Carga</v>
      </c>
      <c r="B60" s="1388"/>
      <c r="C60" s="432">
        <f>'RT03-F12 @'!E34</f>
        <v>0</v>
      </c>
      <c r="D60" s="880" t="str">
        <f>'RT03-F12 @'!D34</f>
        <v>(g)</v>
      </c>
      <c r="E60" s="872"/>
      <c r="F60" s="884" t="s">
        <v>72</v>
      </c>
      <c r="G60" s="872"/>
    </row>
    <row r="61" spans="1:7" ht="30" customHeight="1" thickBot="1" x14ac:dyDescent="0.25">
      <c r="A61" s="1387" t="str">
        <f>'RT03-F12 @'!B35</f>
        <v>Posición</v>
      </c>
      <c r="B61" s="1388"/>
      <c r="C61" s="433" t="str">
        <f>'RT03-F12 @'!B36</f>
        <v>Indicación (g)</v>
      </c>
      <c r="D61" s="434" t="s">
        <v>102</v>
      </c>
      <c r="E61" s="872"/>
      <c r="F61" s="872"/>
      <c r="G61" s="872"/>
    </row>
    <row r="62" spans="1:7" ht="30" customHeight="1" x14ac:dyDescent="0.2">
      <c r="A62" s="1373">
        <f>'RT03-F12 @'!C35</f>
        <v>1</v>
      </c>
      <c r="B62" s="1374"/>
      <c r="C62" s="435">
        <f>'RT03-F12 @'!C36</f>
        <v>0</v>
      </c>
      <c r="D62" s="436">
        <f>'RT03-F12 @'!C37</f>
        <v>0</v>
      </c>
      <c r="E62" s="872"/>
      <c r="G62" s="872"/>
    </row>
    <row r="63" spans="1:7" ht="30" customHeight="1" x14ac:dyDescent="0.2">
      <c r="A63" s="1375">
        <f>'RT03-F12 @'!D35</f>
        <v>2</v>
      </c>
      <c r="B63" s="1376"/>
      <c r="C63" s="437">
        <f>'RT03-F12 @'!D36</f>
        <v>0</v>
      </c>
      <c r="D63" s="438">
        <f>'RT03-F12 @'!D37</f>
        <v>0</v>
      </c>
      <c r="E63" s="872"/>
      <c r="F63" s="872"/>
      <c r="G63" s="872"/>
    </row>
    <row r="64" spans="1:7" ht="30" customHeight="1" x14ac:dyDescent="0.2">
      <c r="A64" s="1375">
        <f>'RT03-F12 @'!E35</f>
        <v>3</v>
      </c>
      <c r="B64" s="1376"/>
      <c r="C64" s="439">
        <f>'RT03-F12 @'!E36</f>
        <v>0</v>
      </c>
      <c r="D64" s="438">
        <f>'RT03-F12 @'!E37</f>
        <v>0</v>
      </c>
      <c r="E64" s="872"/>
      <c r="F64" s="872"/>
      <c r="G64" s="872"/>
    </row>
    <row r="65" spans="1:7" ht="30" customHeight="1" x14ac:dyDescent="0.2">
      <c r="A65" s="1375">
        <f>'RT03-F12 @'!F35</f>
        <v>4</v>
      </c>
      <c r="B65" s="1376"/>
      <c r="C65" s="439">
        <f>'RT03-F12 @'!F36</f>
        <v>0</v>
      </c>
      <c r="D65" s="438">
        <f>'RT03-F12 @'!F37</f>
        <v>0</v>
      </c>
      <c r="E65" s="872"/>
      <c r="F65" s="872"/>
      <c r="G65" s="872"/>
    </row>
    <row r="66" spans="1:7" ht="30" customHeight="1" thickBot="1" x14ac:dyDescent="0.25">
      <c r="A66" s="1360">
        <f>'RT03-F12 @'!G35</f>
        <v>5</v>
      </c>
      <c r="B66" s="1361"/>
      <c r="C66" s="437">
        <f>'RT03-F12 @'!G36</f>
        <v>0</v>
      </c>
      <c r="D66" s="440">
        <f>'RT03-F12 @'!G37</f>
        <v>0</v>
      </c>
      <c r="E66" s="872"/>
      <c r="F66" s="872"/>
      <c r="G66" s="872"/>
    </row>
    <row r="67" spans="1:7" ht="30" customHeight="1" thickBot="1" x14ac:dyDescent="0.25">
      <c r="A67" s="1394" t="s">
        <v>290</v>
      </c>
      <c r="B67" s="1395"/>
      <c r="C67" s="1396"/>
      <c r="D67" s="441">
        <f>'RT03-F12 @'!C39/1000</f>
        <v>0</v>
      </c>
      <c r="E67" s="872"/>
      <c r="F67" s="872"/>
      <c r="G67" s="872"/>
    </row>
    <row r="68" spans="1:7" ht="12" customHeight="1" x14ac:dyDescent="0.2">
      <c r="A68" s="428"/>
      <c r="B68" s="428"/>
      <c r="C68" s="442"/>
      <c r="D68" s="443"/>
      <c r="E68" s="872"/>
      <c r="F68" s="872"/>
      <c r="G68" s="872"/>
    </row>
    <row r="69" spans="1:7" s="922" customFormat="1" ht="20.100000000000001" customHeight="1" x14ac:dyDescent="0.2">
      <c r="A69" s="1369" t="s">
        <v>456</v>
      </c>
      <c r="B69" s="1369"/>
      <c r="C69" s="1369"/>
      <c r="D69" s="1369"/>
      <c r="E69" s="1369"/>
      <c r="F69" s="1369"/>
      <c r="G69" s="1369"/>
    </row>
    <row r="70" spans="1:7" s="922" customFormat="1" ht="20.100000000000001" customHeight="1" x14ac:dyDescent="0.2">
      <c r="A70" s="1369"/>
      <c r="B70" s="1369"/>
      <c r="C70" s="1369"/>
      <c r="D70" s="1369"/>
      <c r="E70" s="1369"/>
      <c r="F70" s="1369"/>
      <c r="G70" s="1369"/>
    </row>
    <row r="71" spans="1:7" s="922" customFormat="1" ht="20.100000000000001" customHeight="1" x14ac:dyDescent="0.2">
      <c r="A71" s="1369"/>
      <c r="B71" s="1369"/>
      <c r="C71" s="1369"/>
      <c r="D71" s="1369"/>
      <c r="E71" s="1369"/>
      <c r="F71" s="1369"/>
      <c r="G71" s="1369"/>
    </row>
    <row r="72" spans="1:7" ht="12" customHeight="1" x14ac:dyDescent="0.2">
      <c r="A72" s="1368"/>
      <c r="B72" s="1368"/>
      <c r="C72" s="1368"/>
      <c r="D72" s="1368"/>
      <c r="E72" s="1368"/>
      <c r="F72" s="1368"/>
      <c r="G72" s="1368"/>
    </row>
    <row r="73" spans="1:7" ht="120" customHeight="1" x14ac:dyDescent="0.2">
      <c r="A73" s="1378"/>
      <c r="B73" s="1378"/>
      <c r="C73" s="1378"/>
      <c r="D73" s="1378"/>
      <c r="E73" s="1378"/>
      <c r="F73" s="1378"/>
      <c r="G73" s="1378"/>
    </row>
    <row r="74" spans="1:7" ht="23.1" customHeight="1" x14ac:dyDescent="0.2">
      <c r="A74" s="874"/>
      <c r="B74" s="874"/>
      <c r="C74" s="874"/>
      <c r="D74" s="874"/>
      <c r="E74" s="874"/>
      <c r="F74" s="874"/>
      <c r="G74" s="874"/>
    </row>
    <row r="75" spans="1:7" ht="23.1" customHeight="1" x14ac:dyDescent="0.2">
      <c r="A75" s="444"/>
      <c r="B75" s="444"/>
      <c r="C75" s="444"/>
      <c r="D75" s="444"/>
      <c r="E75" s="1370" t="s">
        <v>262</v>
      </c>
      <c r="F75" s="1370"/>
      <c r="G75" s="417" t="e">
        <f>G3</f>
        <v>#N/A</v>
      </c>
    </row>
    <row r="76" spans="1:7" ht="23.1" customHeight="1" x14ac:dyDescent="0.2">
      <c r="A76" s="1371" t="s">
        <v>75</v>
      </c>
      <c r="B76" s="1371"/>
      <c r="C76" s="1371"/>
      <c r="F76" s="428"/>
      <c r="G76" s="428"/>
    </row>
    <row r="77" spans="1:7" ht="12" customHeight="1" thickBot="1" x14ac:dyDescent="0.25">
      <c r="F77" s="428"/>
    </row>
    <row r="78" spans="1:7" ht="15" customHeight="1" thickBot="1" x14ac:dyDescent="0.25">
      <c r="A78" s="1364" t="s">
        <v>258</v>
      </c>
      <c r="B78" s="1372"/>
      <c r="C78" s="1372"/>
      <c r="D78" s="1372"/>
      <c r="E78" s="1365"/>
      <c r="F78" s="428"/>
      <c r="G78" s="428"/>
    </row>
    <row r="79" spans="1:7" ht="20.100000000000001" customHeight="1" thickBot="1" x14ac:dyDescent="0.25">
      <c r="A79" s="1362" t="str">
        <f>'RT03-F12 @'!A43</f>
        <v>Cargas (g)</v>
      </c>
      <c r="B79" s="1363"/>
      <c r="C79" s="432">
        <f>'RT03-F12 @'!A44</f>
        <v>0</v>
      </c>
      <c r="D79" s="432">
        <f>'RT03-F12 @'!A45</f>
        <v>0</v>
      </c>
      <c r="E79" s="803">
        <f>'RT03-F12 @'!A46</f>
        <v>0</v>
      </c>
      <c r="F79" s="428"/>
      <c r="G79" s="428"/>
    </row>
    <row r="80" spans="1:7" ht="30" customHeight="1" thickBot="1" x14ac:dyDescent="0.25">
      <c r="A80" s="1364" t="s">
        <v>261</v>
      </c>
      <c r="B80" s="1365"/>
      <c r="C80" s="804" t="s">
        <v>74</v>
      </c>
      <c r="D80" s="804" t="s">
        <v>74</v>
      </c>
      <c r="E80" s="804" t="s">
        <v>74</v>
      </c>
      <c r="F80" s="428"/>
      <c r="G80" s="428"/>
    </row>
    <row r="81" spans="1:7" ht="20.100000000000001" customHeight="1" x14ac:dyDescent="0.2">
      <c r="A81" s="1366">
        <f>'RT03-F12 @'!B43</f>
        <v>1</v>
      </c>
      <c r="B81" s="1367"/>
      <c r="C81" s="805">
        <f>'RT03-F12 @'!B44</f>
        <v>0</v>
      </c>
      <c r="D81" s="805">
        <f>'RT03-F12 @'!B45</f>
        <v>0</v>
      </c>
      <c r="E81" s="806">
        <f>'RT03-F12 @'!B46</f>
        <v>0</v>
      </c>
      <c r="F81" s="428"/>
      <c r="G81" s="428"/>
    </row>
    <row r="82" spans="1:7" ht="20.100000000000001" customHeight="1" x14ac:dyDescent="0.2">
      <c r="A82" s="1344">
        <f>'RT03-F12 @'!C43</f>
        <v>2</v>
      </c>
      <c r="B82" s="1345"/>
      <c r="C82" s="778">
        <f>'RT03-F12 @'!C44</f>
        <v>0</v>
      </c>
      <c r="D82" s="778">
        <f>'RT03-F12 @'!C45</f>
        <v>0</v>
      </c>
      <c r="E82" s="807">
        <f>'RT03-F12 @'!C46</f>
        <v>0</v>
      </c>
      <c r="F82" s="428"/>
      <c r="G82" s="428"/>
    </row>
    <row r="83" spans="1:7" ht="20.100000000000001" customHeight="1" x14ac:dyDescent="0.2">
      <c r="A83" s="1344">
        <f>'RT03-F12 @'!D43</f>
        <v>3</v>
      </c>
      <c r="B83" s="1345"/>
      <c r="C83" s="778">
        <f>'RT03-F12 @'!D44</f>
        <v>0</v>
      </c>
      <c r="D83" s="778">
        <f>'RT03-F12 @'!D45</f>
        <v>0</v>
      </c>
      <c r="E83" s="807">
        <f>'RT03-F12 @'!D46</f>
        <v>0</v>
      </c>
      <c r="F83" s="428"/>
      <c r="G83" s="428"/>
    </row>
    <row r="84" spans="1:7" ht="20.100000000000001" customHeight="1" x14ac:dyDescent="0.2">
      <c r="A84" s="1344">
        <f>'RT03-F12 @'!E43</f>
        <v>4</v>
      </c>
      <c r="B84" s="1345"/>
      <c r="C84" s="778">
        <f>'RT03-F12 @'!E44</f>
        <v>0</v>
      </c>
      <c r="D84" s="778">
        <f>'RT03-F12 @'!E45</f>
        <v>0</v>
      </c>
      <c r="E84" s="807">
        <f>'RT03-F12 @'!E46</f>
        <v>0</v>
      </c>
      <c r="F84" s="428"/>
      <c r="G84" s="428"/>
    </row>
    <row r="85" spans="1:7" ht="20.100000000000001" customHeight="1" x14ac:dyDescent="0.2">
      <c r="A85" s="1344">
        <f>'RT03-F12 @'!F43</f>
        <v>5</v>
      </c>
      <c r="B85" s="1345"/>
      <c r="C85" s="778">
        <f>'RT03-F12 @'!F44</f>
        <v>0</v>
      </c>
      <c r="D85" s="778">
        <f>'RT03-F12 @'!F45</f>
        <v>0</v>
      </c>
      <c r="E85" s="807">
        <f>'RT03-F12 @'!F46</f>
        <v>0</v>
      </c>
      <c r="F85" s="428"/>
      <c r="G85" s="428"/>
    </row>
    <row r="86" spans="1:7" ht="20.100000000000001" customHeight="1" x14ac:dyDescent="0.2">
      <c r="A86" s="1344">
        <f>'RT03-F12 @'!G43</f>
        <v>6</v>
      </c>
      <c r="B86" s="1345"/>
      <c r="C86" s="778">
        <f>'RT03-F12 @'!G44</f>
        <v>0</v>
      </c>
      <c r="D86" s="778">
        <f>'RT03-F12 @'!G45</f>
        <v>0</v>
      </c>
      <c r="E86" s="807">
        <f>'RT03-F12 @'!G46</f>
        <v>0</v>
      </c>
      <c r="F86" s="428"/>
      <c r="G86" s="428"/>
    </row>
    <row r="87" spans="1:7" ht="20.100000000000001" customHeight="1" x14ac:dyDescent="0.2">
      <c r="A87" s="1344">
        <f>'RT03-F12 @'!H43</f>
        <v>7</v>
      </c>
      <c r="B87" s="1345"/>
      <c r="C87" s="778">
        <f>'RT03-F12 @'!H44</f>
        <v>0</v>
      </c>
      <c r="D87" s="778">
        <f>'RT03-F12 @'!H45</f>
        <v>0</v>
      </c>
      <c r="E87" s="807">
        <f>'RT03-F12 @'!H46</f>
        <v>0</v>
      </c>
      <c r="F87" s="428"/>
      <c r="G87" s="428"/>
    </row>
    <row r="88" spans="1:7" ht="20.100000000000001" customHeight="1" x14ac:dyDescent="0.2">
      <c r="A88" s="1344">
        <f>'RT03-F12 @'!I43</f>
        <v>8</v>
      </c>
      <c r="B88" s="1345"/>
      <c r="C88" s="778">
        <f>'RT03-F12 @'!I44</f>
        <v>0</v>
      </c>
      <c r="D88" s="778">
        <f>'RT03-F12 @'!I45</f>
        <v>0</v>
      </c>
      <c r="E88" s="807">
        <f>'RT03-F12 @'!I46</f>
        <v>0</v>
      </c>
      <c r="F88" s="428"/>
      <c r="G88" s="428"/>
    </row>
    <row r="89" spans="1:7" ht="20.100000000000001" customHeight="1" x14ac:dyDescent="0.2">
      <c r="A89" s="1344">
        <f>'RT03-F12 @'!J43</f>
        <v>9</v>
      </c>
      <c r="B89" s="1345"/>
      <c r="C89" s="778">
        <f>'RT03-F12 @'!J44</f>
        <v>0</v>
      </c>
      <c r="D89" s="778">
        <f>'RT03-F12 @'!J45</f>
        <v>0</v>
      </c>
      <c r="E89" s="807">
        <f>'RT03-F12 @'!J46</f>
        <v>0</v>
      </c>
      <c r="F89" s="428"/>
      <c r="G89" s="428"/>
    </row>
    <row r="90" spans="1:7" ht="20.100000000000001" customHeight="1" thickBot="1" x14ac:dyDescent="0.25">
      <c r="A90" s="1346">
        <f>'RT03-F12 @'!K43</f>
        <v>10</v>
      </c>
      <c r="B90" s="1347"/>
      <c r="C90" s="781">
        <f>'RT03-F12 @'!K44</f>
        <v>0</v>
      </c>
      <c r="D90" s="781">
        <f>'RT03-F12 @'!K45</f>
        <v>0</v>
      </c>
      <c r="E90" s="808">
        <f>'RT03-F12 @'!K46</f>
        <v>0</v>
      </c>
      <c r="F90" s="872"/>
      <c r="G90" s="872"/>
    </row>
    <row r="91" spans="1:7" ht="12" customHeight="1" x14ac:dyDescent="0.2">
      <c r="A91" s="888"/>
      <c r="B91" s="888"/>
      <c r="C91" s="888"/>
      <c r="D91" s="888"/>
      <c r="E91" s="872"/>
      <c r="F91" s="872"/>
      <c r="G91" s="872"/>
    </row>
    <row r="92" spans="1:7" s="922" customFormat="1" ht="48" customHeight="1" x14ac:dyDescent="0.2">
      <c r="A92" s="1351" t="s">
        <v>255</v>
      </c>
      <c r="B92" s="1351"/>
      <c r="C92" s="1351"/>
      <c r="D92" s="1351"/>
      <c r="E92" s="1351"/>
      <c r="F92" s="1351"/>
      <c r="G92" s="1351"/>
    </row>
    <row r="93" spans="1:7" ht="12" customHeight="1" x14ac:dyDescent="0.2">
      <c r="F93" s="872"/>
      <c r="G93" s="872"/>
    </row>
    <row r="94" spans="1:7" ht="23.1" customHeight="1" x14ac:dyDescent="0.2">
      <c r="A94" s="1371" t="s">
        <v>259</v>
      </c>
      <c r="B94" s="1371"/>
      <c r="C94" s="1371"/>
      <c r="D94" s="1371"/>
      <c r="E94" s="1371"/>
      <c r="F94" s="888"/>
      <c r="G94" s="888"/>
    </row>
    <row r="95" spans="1:7" ht="12" customHeight="1" thickBot="1" x14ac:dyDescent="0.25">
      <c r="E95" s="67"/>
    </row>
    <row r="96" spans="1:7" ht="23.25" customHeight="1" thickBot="1" x14ac:dyDescent="0.25">
      <c r="A96" s="1421" t="s">
        <v>254</v>
      </c>
      <c r="B96" s="1422"/>
      <c r="C96" s="1422"/>
      <c r="D96" s="1423"/>
      <c r="E96" s="650" t="s">
        <v>398</v>
      </c>
      <c r="F96" s="650" t="s">
        <v>416</v>
      </c>
      <c r="G96" s="650" t="s">
        <v>417</v>
      </c>
    </row>
    <row r="97" spans="1:7" ht="30" customHeight="1" thickBot="1" x14ac:dyDescent="0.25">
      <c r="A97" s="1348" t="s">
        <v>398</v>
      </c>
      <c r="B97" s="1348"/>
      <c r="C97" s="870" t="s">
        <v>277</v>
      </c>
      <c r="D97" s="823" t="s">
        <v>485</v>
      </c>
      <c r="E97" s="650">
        <v>5</v>
      </c>
      <c r="F97" s="650">
        <v>1</v>
      </c>
      <c r="G97" s="650">
        <v>-1</v>
      </c>
    </row>
    <row r="98" spans="1:7" ht="20.100000000000001" customHeight="1" x14ac:dyDescent="0.2">
      <c r="A98" s="1349" t="e">
        <f>'RT03-F12 @'!K93</f>
        <v>#N/A</v>
      </c>
      <c r="B98" s="1350"/>
      <c r="C98" s="776">
        <f>'RT03-F12 @'!C55</f>
        <v>0</v>
      </c>
      <c r="D98" s="777" t="e">
        <f>'RT03-F12 @'!D55</f>
        <v>#N/A</v>
      </c>
      <c r="E98" s="775">
        <v>1000</v>
      </c>
      <c r="F98" s="650">
        <v>1</v>
      </c>
      <c r="G98" s="650">
        <v>-1</v>
      </c>
    </row>
    <row r="99" spans="1:7" ht="20.100000000000001" customHeight="1" x14ac:dyDescent="0.2">
      <c r="A99" s="1358" t="e">
        <f>'RT03-F12 @'!K94</f>
        <v>#N/A</v>
      </c>
      <c r="B99" s="1359"/>
      <c r="C99" s="778">
        <f>'RT03-F12 @'!C56</f>
        <v>0</v>
      </c>
      <c r="D99" s="779" t="e">
        <f>'RT03-F12 @'!D56</f>
        <v>#N/A</v>
      </c>
      <c r="E99" s="775">
        <v>2000</v>
      </c>
      <c r="F99" s="650">
        <v>1</v>
      </c>
      <c r="G99" s="650">
        <v>-1</v>
      </c>
    </row>
    <row r="100" spans="1:7" ht="20.100000000000001" customHeight="1" x14ac:dyDescent="0.2">
      <c r="A100" s="1358" t="e">
        <f>'RT03-F12 @'!K95</f>
        <v>#N/A</v>
      </c>
      <c r="B100" s="1359"/>
      <c r="C100" s="778">
        <f>'RT03-F12 @'!C57</f>
        <v>0</v>
      </c>
      <c r="D100" s="779" t="e">
        <f>'RT03-F12 @'!D57</f>
        <v>#N/A</v>
      </c>
      <c r="E100" s="775">
        <v>5000</v>
      </c>
      <c r="F100" s="650">
        <v>1</v>
      </c>
      <c r="G100" s="650">
        <v>-1</v>
      </c>
    </row>
    <row r="101" spans="1:7" ht="20.100000000000001" customHeight="1" x14ac:dyDescent="0.2">
      <c r="A101" s="1358" t="e">
        <f>'RT03-F12 @'!K96</f>
        <v>#N/A</v>
      </c>
      <c r="B101" s="1359"/>
      <c r="C101" s="778">
        <f>'RT03-F12 @'!C58</f>
        <v>0</v>
      </c>
      <c r="D101" s="780" t="e">
        <f>'RT03-F12 @'!D58</f>
        <v>#N/A</v>
      </c>
      <c r="E101" s="775">
        <v>5000</v>
      </c>
      <c r="F101" s="650">
        <v>2</v>
      </c>
      <c r="G101" s="650">
        <v>-2</v>
      </c>
    </row>
    <row r="102" spans="1:7" ht="20.100000000000001" customHeight="1" thickBot="1" x14ac:dyDescent="0.25">
      <c r="A102" s="1431" t="e">
        <f>'RT03-F12 @'!K97</f>
        <v>#N/A</v>
      </c>
      <c r="B102" s="1432"/>
      <c r="C102" s="781">
        <f>'RT03-F12 @'!C59</f>
        <v>0</v>
      </c>
      <c r="D102" s="782" t="e">
        <f>'RT03-F12 @'!D59</f>
        <v>#N/A</v>
      </c>
      <c r="E102" s="775">
        <v>8200</v>
      </c>
      <c r="F102" s="650">
        <v>2</v>
      </c>
      <c r="G102" s="650">
        <v>-2</v>
      </c>
    </row>
    <row r="103" spans="1:7" ht="15.95" customHeight="1" thickBot="1" x14ac:dyDescent="0.25">
      <c r="A103" s="445"/>
      <c r="B103" s="445"/>
      <c r="C103" s="445"/>
      <c r="D103" s="445"/>
      <c r="E103" s="888"/>
      <c r="F103" s="888"/>
      <c r="G103" s="445"/>
    </row>
    <row r="104" spans="1:7" ht="18.75" customHeight="1" thickBot="1" x14ac:dyDescent="0.25">
      <c r="A104" s="1424" t="s">
        <v>256</v>
      </c>
      <c r="B104" s="1425"/>
      <c r="C104" s="1426"/>
      <c r="D104" s="1427"/>
      <c r="E104" s="783" t="s">
        <v>357</v>
      </c>
      <c r="F104" s="888"/>
      <c r="G104" s="445"/>
    </row>
    <row r="105" spans="1:7" ht="30" customHeight="1" thickBot="1" x14ac:dyDescent="0.25">
      <c r="A105" s="1348" t="s">
        <v>398</v>
      </c>
      <c r="B105" s="1348"/>
      <c r="C105" s="784" t="s">
        <v>215</v>
      </c>
      <c r="D105" s="784" t="s">
        <v>297</v>
      </c>
      <c r="E105" s="784" t="s">
        <v>358</v>
      </c>
      <c r="F105" s="888"/>
      <c r="G105" s="445"/>
    </row>
    <row r="106" spans="1:7" ht="20.100000000000001" customHeight="1" x14ac:dyDescent="0.2">
      <c r="A106" s="1352" t="e">
        <f>'RT03-F12 @'!K93</f>
        <v>#N/A</v>
      </c>
      <c r="B106" s="1353"/>
      <c r="C106" s="785" t="e">
        <f>'RT03-F12 @'!M93</f>
        <v>#DIV/0!</v>
      </c>
      <c r="D106" s="786" t="e">
        <f>IF('RT03-F12 @'!O93&lt;=('RT03-F12 @'!Q93),"0,0781",'RT03-F12 @'!O93)</f>
        <v>#N/A</v>
      </c>
      <c r="E106" s="787" t="e">
        <f>IF(ABS(C106)+D106&gt;=(($D$113)),"NO","SI")</f>
        <v>#DIV/0!</v>
      </c>
      <c r="F106" s="913"/>
      <c r="G106" s="919"/>
    </row>
    <row r="107" spans="1:7" ht="20.100000000000001" customHeight="1" x14ac:dyDescent="0.2">
      <c r="A107" s="1354" t="e">
        <f>'RT03-F12 @'!K94</f>
        <v>#N/A</v>
      </c>
      <c r="B107" s="1355"/>
      <c r="C107" s="788" t="e">
        <f>'RT03-F12 @'!M94</f>
        <v>#DIV/0!</v>
      </c>
      <c r="D107" s="789" t="e">
        <f>IF('RT03-F12 @'!O94&lt;=('RT03-F12 @'!Q94),"0,0836",'RT03-F12 @'!O94)</f>
        <v>#N/A</v>
      </c>
      <c r="E107" s="790" t="e">
        <f t="shared" ref="E107:E109" si="0">IF(ABS(C107)+D107&gt;=(($D$113)),"NO","SI")</f>
        <v>#DIV/0!</v>
      </c>
      <c r="F107" s="913"/>
      <c r="G107" s="442"/>
    </row>
    <row r="108" spans="1:7" ht="20.100000000000001" customHeight="1" x14ac:dyDescent="0.2">
      <c r="A108" s="1354" t="e">
        <f>'RT03-F12 @'!K95</f>
        <v>#N/A</v>
      </c>
      <c r="B108" s="1355"/>
      <c r="C108" s="788" t="e">
        <f>'RT03-F12 @'!M95</f>
        <v>#DIV/0!</v>
      </c>
      <c r="D108" s="789" t="e">
        <f>IF('RT03-F12 @'!O95&lt;=('RT03-F12 @'!Q95),"0,0892",'RT03-F12 @'!O95)</f>
        <v>#N/A</v>
      </c>
      <c r="E108" s="790" t="e">
        <f t="shared" si="0"/>
        <v>#DIV/0!</v>
      </c>
      <c r="F108" s="913"/>
      <c r="G108" s="442"/>
    </row>
    <row r="109" spans="1:7" ht="20.100000000000001" customHeight="1" x14ac:dyDescent="0.2">
      <c r="A109" s="1354" t="e">
        <f>'RT03-F12 @'!K96</f>
        <v>#N/A</v>
      </c>
      <c r="B109" s="1355"/>
      <c r="C109" s="791" t="e">
        <f>'RT03-F12 @'!M96</f>
        <v>#DIV/0!</v>
      </c>
      <c r="D109" s="792" t="e">
        <f>IF('RT03-F12 @'!O96&lt;=('RT03-F12 @'!Q96),"0,106",'RT03-F12 @'!O96)</f>
        <v>#N/A</v>
      </c>
      <c r="E109" s="790" t="e">
        <f t="shared" si="0"/>
        <v>#DIV/0!</v>
      </c>
      <c r="F109" s="913"/>
      <c r="G109" s="442"/>
    </row>
    <row r="110" spans="1:7" ht="20.100000000000001" customHeight="1" thickBot="1" x14ac:dyDescent="0.25">
      <c r="A110" s="1356" t="e">
        <f>'RT03-F12 @'!K97</f>
        <v>#N/A</v>
      </c>
      <c r="B110" s="1357"/>
      <c r="C110" s="793" t="e">
        <f>'RT03-F12 @'!M97</f>
        <v>#DIV/0!</v>
      </c>
      <c r="D110" s="794" t="e">
        <f>IF('RT03-F12 @'!O97&lt;=('RT03-F12 @'!Q97),"0,123",'RT03-F12 @'!O97)</f>
        <v>#N/A</v>
      </c>
      <c r="E110" s="795" t="e">
        <f>IF(ABS(C110)+D110&gt;=(($D$114)),"NO","SI")</f>
        <v>#DIV/0!</v>
      </c>
      <c r="F110" s="918"/>
      <c r="G110" s="442"/>
    </row>
    <row r="111" spans="1:7" ht="15.95" customHeight="1" thickBot="1" x14ac:dyDescent="0.25">
      <c r="A111" s="885"/>
      <c r="B111" s="885"/>
      <c r="C111" s="443"/>
      <c r="D111" s="443"/>
      <c r="E111" s="428"/>
      <c r="F111" s="446"/>
      <c r="G111" s="428"/>
    </row>
    <row r="112" spans="1:7" ht="20.100000000000001" customHeight="1" thickBot="1" x14ac:dyDescent="0.25">
      <c r="A112" s="1335" t="s">
        <v>353</v>
      </c>
      <c r="B112" s="1336"/>
      <c r="C112" s="797" t="s">
        <v>354</v>
      </c>
      <c r="D112" s="798" t="s">
        <v>475</v>
      </c>
      <c r="E112" s="428"/>
      <c r="F112" s="446"/>
      <c r="G112" s="428"/>
    </row>
    <row r="113" spans="1:7" ht="20.100000000000001" customHeight="1" x14ac:dyDescent="0.2">
      <c r="A113" s="1337" t="s">
        <v>355</v>
      </c>
      <c r="B113" s="1338"/>
      <c r="C113" s="799" t="s">
        <v>476</v>
      </c>
      <c r="D113" s="800">
        <v>1</v>
      </c>
      <c r="E113" s="428"/>
      <c r="F113" s="446"/>
      <c r="G113" s="428"/>
    </row>
    <row r="114" spans="1:7" ht="20.100000000000001" customHeight="1" thickBot="1" x14ac:dyDescent="0.25">
      <c r="A114" s="1339" t="s">
        <v>363</v>
      </c>
      <c r="B114" s="1340"/>
      <c r="C114" s="801" t="s">
        <v>477</v>
      </c>
      <c r="D114" s="802">
        <v>2</v>
      </c>
      <c r="E114" s="428"/>
      <c r="F114" s="446"/>
      <c r="G114" s="428"/>
    </row>
    <row r="115" spans="1:7" ht="15.95" customHeight="1" x14ac:dyDescent="0.2">
      <c r="A115" s="428"/>
      <c r="B115" s="428"/>
      <c r="C115" s="428"/>
      <c r="D115" s="428"/>
      <c r="E115" s="428"/>
      <c r="F115" s="446"/>
      <c r="G115" s="428"/>
    </row>
    <row r="116" spans="1:7" ht="22.5" customHeight="1" x14ac:dyDescent="0.2">
      <c r="A116" s="428"/>
      <c r="B116" s="428"/>
      <c r="C116" s="428"/>
      <c r="D116" s="428"/>
      <c r="E116" s="428"/>
      <c r="F116" s="446"/>
      <c r="G116" s="428"/>
    </row>
    <row r="117" spans="1:7" ht="18" customHeight="1" x14ac:dyDescent="0.2">
      <c r="A117" s="885"/>
      <c r="B117" s="885"/>
      <c r="C117" s="443"/>
      <c r="D117" s="443"/>
    </row>
    <row r="118" spans="1:7" ht="120" customHeight="1" x14ac:dyDescent="0.2">
      <c r="A118" s="1428"/>
      <c r="B118" s="1428"/>
      <c r="C118" s="1428"/>
      <c r="D118" s="1428"/>
      <c r="E118" s="1428"/>
      <c r="F118" s="1428"/>
      <c r="G118" s="1428"/>
    </row>
    <row r="119" spans="1:7" ht="23.1" customHeight="1" x14ac:dyDescent="0.2">
      <c r="A119" s="885"/>
      <c r="B119" s="885"/>
      <c r="C119" s="885"/>
      <c r="D119" s="885"/>
      <c r="E119" s="885"/>
      <c r="F119" s="885"/>
      <c r="G119" s="885"/>
    </row>
    <row r="120" spans="1:7" ht="23.1" customHeight="1" x14ac:dyDescent="0.2">
      <c r="A120" s="885"/>
      <c r="B120" s="885"/>
      <c r="C120" s="443"/>
      <c r="D120" s="443"/>
      <c r="E120" s="1370" t="s">
        <v>262</v>
      </c>
      <c r="F120" s="1370"/>
      <c r="G120" s="417" t="e">
        <f>G3</f>
        <v>#N/A</v>
      </c>
    </row>
    <row r="121" spans="1:7" ht="18" customHeight="1" x14ac:dyDescent="0.2">
      <c r="A121" s="885"/>
      <c r="B121" s="885"/>
      <c r="C121" s="443"/>
      <c r="D121" s="443"/>
      <c r="E121" s="871"/>
      <c r="F121" s="871"/>
      <c r="G121" s="447"/>
    </row>
    <row r="122" spans="1:7" ht="20.100000000000001" customHeight="1" x14ac:dyDescent="0.2">
      <c r="A122" s="61"/>
      <c r="B122" s="61"/>
      <c r="C122" s="443"/>
      <c r="D122" s="443"/>
      <c r="E122" s="428"/>
      <c r="F122" s="446"/>
      <c r="G122" s="428"/>
    </row>
    <row r="123" spans="1:7" ht="15" customHeight="1" x14ac:dyDescent="0.2">
      <c r="A123" s="445"/>
      <c r="B123" s="445"/>
      <c r="C123" s="443"/>
      <c r="D123" s="443"/>
      <c r="E123" s="888"/>
      <c r="F123" s="888"/>
      <c r="G123" s="888"/>
    </row>
    <row r="124" spans="1:7" ht="15" customHeight="1" x14ac:dyDescent="0.2">
      <c r="A124" s="428"/>
      <c r="B124" s="428"/>
      <c r="C124" s="448"/>
      <c r="D124" s="428"/>
      <c r="E124" s="428"/>
      <c r="F124" s="428"/>
      <c r="G124" s="428"/>
    </row>
    <row r="125" spans="1:7" ht="15" customHeight="1" x14ac:dyDescent="0.2">
      <c r="A125" s="428"/>
      <c r="B125" s="428"/>
      <c r="C125" s="428"/>
      <c r="D125" s="428"/>
      <c r="E125" s="428"/>
      <c r="F125" s="428"/>
      <c r="G125" s="428"/>
    </row>
    <row r="126" spans="1:7" ht="15" customHeight="1" x14ac:dyDescent="0.2">
      <c r="A126" s="428"/>
      <c r="B126" s="428"/>
      <c r="C126" s="428"/>
      <c r="D126" s="428"/>
      <c r="E126" s="428"/>
      <c r="F126" s="428"/>
      <c r="G126" s="428"/>
    </row>
    <row r="127" spans="1:7" ht="15" customHeight="1" x14ac:dyDescent="0.2">
      <c r="A127" s="428"/>
      <c r="B127" s="428"/>
      <c r="C127" s="428"/>
      <c r="D127" s="428"/>
      <c r="E127" s="428"/>
      <c r="F127" s="428"/>
      <c r="G127" s="428"/>
    </row>
    <row r="128" spans="1:7" ht="15" customHeight="1" x14ac:dyDescent="0.2">
      <c r="A128" s="428"/>
      <c r="B128" s="428"/>
      <c r="C128" s="428"/>
      <c r="D128" s="428"/>
      <c r="E128" s="428"/>
      <c r="F128" s="428"/>
      <c r="G128" s="428"/>
    </row>
    <row r="129" spans="1:7" ht="15" customHeight="1" x14ac:dyDescent="0.2">
      <c r="A129" s="428"/>
      <c r="B129" s="428"/>
      <c r="C129" s="428"/>
      <c r="D129" s="428"/>
      <c r="E129" s="428"/>
      <c r="F129" s="428"/>
      <c r="G129" s="428"/>
    </row>
    <row r="130" spans="1:7" ht="15" customHeight="1" x14ac:dyDescent="0.2">
      <c r="A130" s="428"/>
      <c r="B130" s="428"/>
      <c r="C130" s="428"/>
      <c r="D130" s="428"/>
      <c r="E130" s="428"/>
      <c r="F130" s="428"/>
      <c r="G130" s="428"/>
    </row>
    <row r="131" spans="1:7" ht="15" customHeight="1" x14ac:dyDescent="0.2">
      <c r="A131" s="428"/>
      <c r="B131" s="428"/>
      <c r="C131" s="428"/>
      <c r="D131" s="428"/>
      <c r="E131" s="428"/>
      <c r="F131" s="428"/>
      <c r="G131" s="428"/>
    </row>
    <row r="132" spans="1:7" ht="15" customHeight="1" x14ac:dyDescent="0.2">
      <c r="A132" s="428"/>
      <c r="B132" s="428"/>
      <c r="C132" s="428"/>
      <c r="D132" s="428"/>
      <c r="E132" s="428"/>
      <c r="F132" s="428"/>
      <c r="G132" s="428"/>
    </row>
    <row r="133" spans="1:7" ht="15" customHeight="1" x14ac:dyDescent="0.2">
      <c r="A133" s="428"/>
      <c r="B133" s="428"/>
      <c r="C133" s="428"/>
      <c r="D133" s="428"/>
      <c r="E133" s="428"/>
      <c r="F133" s="428"/>
      <c r="G133" s="428"/>
    </row>
    <row r="134" spans="1:7" ht="15" customHeight="1" x14ac:dyDescent="0.2">
      <c r="A134" s="428"/>
      <c r="B134" s="428"/>
      <c r="C134" s="428"/>
      <c r="D134" s="428"/>
      <c r="E134" s="428"/>
      <c r="F134" s="428"/>
      <c r="G134" s="428"/>
    </row>
    <row r="135" spans="1:7" ht="15" customHeight="1" x14ac:dyDescent="0.2">
      <c r="A135" s="428"/>
      <c r="B135" s="428"/>
      <c r="C135" s="428"/>
      <c r="D135" s="428"/>
      <c r="E135" s="428"/>
      <c r="F135" s="428"/>
      <c r="G135" s="428"/>
    </row>
    <row r="136" spans="1:7" ht="15" customHeight="1" x14ac:dyDescent="0.2">
      <c r="E136" s="888"/>
      <c r="F136" s="888"/>
      <c r="G136" s="888"/>
    </row>
    <row r="137" spans="1:7" ht="15" customHeight="1" x14ac:dyDescent="0.2">
      <c r="A137" s="888"/>
      <c r="B137" s="888"/>
      <c r="C137" s="888"/>
      <c r="D137" s="888"/>
      <c r="E137" s="888"/>
      <c r="F137" s="888"/>
      <c r="G137" s="888"/>
    </row>
    <row r="138" spans="1:7" ht="15" customHeight="1" x14ac:dyDescent="0.2">
      <c r="A138" s="888"/>
      <c r="B138" s="888"/>
      <c r="C138" s="888"/>
      <c r="D138" s="888"/>
      <c r="E138" s="888"/>
      <c r="F138" s="888"/>
      <c r="G138" s="888"/>
    </row>
    <row r="139" spans="1:7" ht="15" customHeight="1" x14ac:dyDescent="0.2">
      <c r="A139" s="888"/>
      <c r="B139" s="888"/>
      <c r="C139" s="888"/>
      <c r="D139" s="888"/>
      <c r="E139" s="888"/>
      <c r="F139" s="888"/>
      <c r="G139" s="888"/>
    </row>
    <row r="140" spans="1:7" s="922" customFormat="1" ht="69.95" customHeight="1" x14ac:dyDescent="0.2">
      <c r="A140" s="1430" t="s">
        <v>356</v>
      </c>
      <c r="B140" s="1430"/>
      <c r="C140" s="1430"/>
      <c r="D140" s="1430"/>
      <c r="E140" s="1430"/>
      <c r="F140" s="1430"/>
      <c r="G140" s="1430"/>
    </row>
    <row r="141" spans="1:7" ht="23.1" customHeight="1" x14ac:dyDescent="0.2">
      <c r="A141" s="708"/>
      <c r="B141" s="708"/>
      <c r="C141" s="708"/>
      <c r="D141" s="708"/>
      <c r="E141" s="708"/>
      <c r="F141" s="708"/>
      <c r="G141" s="708"/>
    </row>
    <row r="142" spans="1:7" ht="21" customHeight="1" x14ac:dyDescent="0.2">
      <c r="A142" s="449"/>
      <c r="B142" s="449"/>
      <c r="C142" s="449"/>
      <c r="D142" s="449"/>
      <c r="E142" s="449"/>
      <c r="F142" s="449"/>
      <c r="G142" s="449"/>
    </row>
    <row r="143" spans="1:7" ht="21" customHeight="1" x14ac:dyDescent="0.2">
      <c r="A143" s="449"/>
      <c r="B143" s="449"/>
      <c r="C143" s="449"/>
      <c r="D143" s="449"/>
      <c r="E143" s="449"/>
      <c r="F143" s="449"/>
      <c r="G143" s="449"/>
    </row>
    <row r="144" spans="1:7" ht="20.100000000000001" customHeight="1" x14ac:dyDescent="0.2">
      <c r="A144" s="1371"/>
      <c r="B144" s="1371"/>
      <c r="C144" s="1371"/>
      <c r="D144" s="1371"/>
      <c r="E144" s="888"/>
      <c r="F144" s="888"/>
      <c r="G144" s="888"/>
    </row>
    <row r="145" spans="1:10" ht="20.100000000000001" customHeight="1" x14ac:dyDescent="0.2">
      <c r="A145" s="1381" t="s">
        <v>291</v>
      </c>
      <c r="B145" s="1381"/>
      <c r="C145" s="1381"/>
      <c r="D145" s="1381"/>
      <c r="E145" s="1381"/>
      <c r="F145" s="1381"/>
      <c r="G145" s="888"/>
    </row>
    <row r="146" spans="1:10" ht="12" customHeight="1" x14ac:dyDescent="0.2">
      <c r="A146" s="883"/>
      <c r="B146" s="883"/>
      <c r="C146" s="427"/>
      <c r="D146" s="427"/>
      <c r="E146" s="427"/>
      <c r="F146" s="427"/>
      <c r="G146" s="888"/>
    </row>
    <row r="147" spans="1:10" s="925" customFormat="1" ht="48" customHeight="1" x14ac:dyDescent="0.25">
      <c r="A147" s="1433" t="s">
        <v>421</v>
      </c>
      <c r="B147" s="1433"/>
      <c r="C147" s="1433"/>
      <c r="D147" s="1433"/>
      <c r="E147" s="1433"/>
      <c r="F147" s="1433"/>
      <c r="G147" s="1433"/>
    </row>
    <row r="148" spans="1:10" ht="24.75" customHeight="1" thickBot="1" x14ac:dyDescent="0.25">
      <c r="A148" s="809"/>
      <c r="B148" s="809"/>
      <c r="C148" s="809"/>
      <c r="D148" s="809"/>
      <c r="E148" s="809"/>
      <c r="F148" s="809"/>
      <c r="G148" s="809"/>
    </row>
    <row r="149" spans="1:10" ht="30.75" customHeight="1" thickBot="1" x14ac:dyDescent="0.25">
      <c r="A149" s="1341" t="s">
        <v>478</v>
      </c>
      <c r="B149" s="1342"/>
      <c r="C149" s="1342"/>
      <c r="D149" s="1342"/>
      <c r="E149" s="1342"/>
      <c r="F149" s="1342"/>
      <c r="G149" s="1389"/>
    </row>
    <row r="150" spans="1:10" ht="23.1" customHeight="1" thickBot="1" x14ac:dyDescent="0.25">
      <c r="A150" s="768"/>
      <c r="B150" s="768"/>
      <c r="C150" s="768"/>
      <c r="D150" s="768"/>
      <c r="E150" s="768"/>
      <c r="F150" s="768"/>
      <c r="G150" s="768"/>
      <c r="H150" s="539"/>
    </row>
    <row r="151" spans="1:10" ht="21.75" customHeight="1" thickBot="1" x14ac:dyDescent="0.25">
      <c r="A151" s="810"/>
      <c r="B151" s="810"/>
      <c r="C151" s="811" t="s">
        <v>244</v>
      </c>
      <c r="D151" s="812" t="e">
        <f>'RT03-F12 @'!F141</f>
        <v>#N/A</v>
      </c>
      <c r="E151" s="796" t="s">
        <v>61</v>
      </c>
      <c r="F151" s="813"/>
      <c r="G151" s="814"/>
      <c r="H151" s="539"/>
    </row>
    <row r="152" spans="1:10" ht="23.1" customHeight="1" thickBot="1" x14ac:dyDescent="0.25">
      <c r="A152" s="768"/>
      <c r="B152" s="768"/>
      <c r="C152" s="768"/>
      <c r="D152" s="768"/>
      <c r="E152" s="768"/>
      <c r="F152" s="815"/>
      <c r="G152" s="815"/>
      <c r="H152" s="539"/>
    </row>
    <row r="153" spans="1:10" ht="30.75" customHeight="1" thickBot="1" x14ac:dyDescent="0.25">
      <c r="A153" s="1341" t="s">
        <v>58</v>
      </c>
      <c r="B153" s="1342"/>
      <c r="C153" s="1342"/>
      <c r="D153" s="1342"/>
      <c r="E153" s="1342"/>
      <c r="F153" s="1342"/>
      <c r="G153" s="1389"/>
      <c r="H153" s="539"/>
    </row>
    <row r="154" spans="1:10" ht="23.1" customHeight="1" thickBot="1" x14ac:dyDescent="0.25">
      <c r="A154" s="421"/>
      <c r="B154" s="421"/>
      <c r="C154" s="421"/>
      <c r="D154" s="421"/>
      <c r="E154" s="421"/>
      <c r="F154" s="816"/>
      <c r="G154" s="875"/>
      <c r="H154" s="539"/>
    </row>
    <row r="155" spans="1:10" ht="24.75" customHeight="1" thickBot="1" x14ac:dyDescent="0.25">
      <c r="A155" s="1341" t="s">
        <v>293</v>
      </c>
      <c r="B155" s="1342"/>
      <c r="C155" s="869" t="e">
        <f>IF('RT03-F12 @'!M141&lt;=('DATOS @ '!H157),"0,078",'RT03-F12 @'!M141)</f>
        <v>#DIV/0!</v>
      </c>
      <c r="D155" s="817" t="s">
        <v>260</v>
      </c>
      <c r="E155" s="818" t="e">
        <f>'RT03-F12 @'!O141</f>
        <v>#DIV/0!</v>
      </c>
      <c r="F155" s="869" t="s">
        <v>61</v>
      </c>
      <c r="G155" s="819"/>
      <c r="H155" s="543"/>
      <c r="I155" s="450"/>
      <c r="J155" s="450"/>
    </row>
    <row r="156" spans="1:10" ht="20.100000000000001" customHeight="1" x14ac:dyDescent="0.2">
      <c r="A156" s="768"/>
      <c r="B156" s="768"/>
      <c r="C156" s="768"/>
      <c r="D156" s="768"/>
      <c r="E156" s="768"/>
      <c r="F156" s="768"/>
      <c r="G156" s="768"/>
      <c r="H156" s="539"/>
    </row>
    <row r="157" spans="1:10" ht="18" customHeight="1" x14ac:dyDescent="0.2">
      <c r="A157" s="768"/>
      <c r="B157" s="768"/>
      <c r="C157" s="768"/>
      <c r="D157" s="768"/>
      <c r="E157" s="768"/>
      <c r="F157" s="875"/>
      <c r="G157" s="820"/>
      <c r="H157" s="539"/>
    </row>
    <row r="158" spans="1:10" ht="18" customHeight="1" x14ac:dyDescent="0.2">
      <c r="A158" s="620"/>
      <c r="B158" s="620"/>
      <c r="C158" s="620"/>
      <c r="D158" s="620"/>
      <c r="E158" s="620"/>
      <c r="F158" s="621"/>
      <c r="G158" s="619"/>
      <c r="H158" s="539"/>
    </row>
    <row r="159" spans="1:10" ht="120" customHeight="1" x14ac:dyDescent="0.2">
      <c r="A159" s="1377"/>
      <c r="B159" s="1377"/>
      <c r="C159" s="1377"/>
      <c r="D159" s="1377"/>
      <c r="E159" s="1377"/>
      <c r="F159" s="1377"/>
      <c r="G159" s="1377"/>
    </row>
    <row r="160" spans="1:10" ht="23.1" customHeight="1" x14ac:dyDescent="0.2"/>
    <row r="161" spans="1:8" ht="23.1" customHeight="1" x14ac:dyDescent="0.2">
      <c r="E161" s="1370" t="s">
        <v>262</v>
      </c>
      <c r="F161" s="1370"/>
      <c r="G161" s="417" t="e">
        <f>G3</f>
        <v>#N/A</v>
      </c>
    </row>
    <row r="162" spans="1:8" ht="23.1" customHeight="1" x14ac:dyDescent="0.2">
      <c r="E162" s="871"/>
      <c r="F162" s="871"/>
      <c r="G162" s="447"/>
    </row>
    <row r="163" spans="1:8" ht="23.1" customHeight="1" x14ac:dyDescent="0.2">
      <c r="A163" s="1381" t="s">
        <v>292</v>
      </c>
      <c r="B163" s="1381"/>
      <c r="C163" s="1381"/>
      <c r="D163" s="1381"/>
      <c r="E163" s="540"/>
      <c r="F163" s="451"/>
      <c r="G163" s="451"/>
    </row>
    <row r="164" spans="1:8" ht="23.1" customHeight="1" x14ac:dyDescent="0.2">
      <c r="A164" s="1429"/>
      <c r="B164" s="1429"/>
      <c r="C164" s="1429"/>
      <c r="D164" s="1429"/>
      <c r="E164" s="1429"/>
      <c r="F164" s="1429"/>
      <c r="G164" s="1429"/>
    </row>
    <row r="165" spans="1:8" s="920" customFormat="1" ht="33" customHeight="1" x14ac:dyDescent="0.2">
      <c r="A165" s="856" t="s">
        <v>459</v>
      </c>
      <c r="B165" s="1343" t="s">
        <v>460</v>
      </c>
      <c r="C165" s="1343"/>
      <c r="D165" s="1343"/>
      <c r="E165" s="1343"/>
      <c r="F165" s="1343"/>
      <c r="G165" s="1343"/>
    </row>
    <row r="166" spans="1:8" s="920" customFormat="1" ht="33" customHeight="1" x14ac:dyDescent="0.2">
      <c r="A166" s="857" t="s">
        <v>459</v>
      </c>
      <c r="B166" s="1334" t="s">
        <v>461</v>
      </c>
      <c r="C166" s="1334"/>
      <c r="D166" s="1334"/>
      <c r="E166" s="1334"/>
      <c r="F166" s="1334"/>
      <c r="G166" s="1334"/>
      <c r="H166" s="921"/>
    </row>
    <row r="167" spans="1:8" s="920" customFormat="1" ht="33" customHeight="1" x14ac:dyDescent="0.2">
      <c r="A167" s="857" t="s">
        <v>462</v>
      </c>
      <c r="B167" s="1334" t="s">
        <v>463</v>
      </c>
      <c r="C167" s="1334"/>
      <c r="D167" s="1334"/>
      <c r="E167" s="1334"/>
      <c r="F167" s="1334"/>
      <c r="G167" s="1334"/>
      <c r="H167" s="921"/>
    </row>
    <row r="168" spans="1:8" s="920" customFormat="1" ht="23.1" customHeight="1" x14ac:dyDescent="0.2">
      <c r="A168" s="857" t="s">
        <v>459</v>
      </c>
      <c r="B168" s="1334" t="s">
        <v>464</v>
      </c>
      <c r="C168" s="1334"/>
      <c r="D168" s="1334"/>
      <c r="E168" s="1334"/>
      <c r="F168" s="1334"/>
      <c r="G168" s="1334"/>
    </row>
    <row r="169" spans="1:8" s="920" customFormat="1" ht="23.1" customHeight="1" x14ac:dyDescent="0.2">
      <c r="A169" s="857" t="s">
        <v>459</v>
      </c>
      <c r="B169" s="1334" t="s">
        <v>465</v>
      </c>
      <c r="C169" s="1334"/>
      <c r="D169" s="1334"/>
      <c r="E169" s="1334"/>
      <c r="F169" s="1334"/>
      <c r="G169" s="1334"/>
    </row>
    <row r="170" spans="1:8" s="921" customFormat="1" ht="33" customHeight="1" x14ac:dyDescent="0.2">
      <c r="A170" s="857" t="s">
        <v>459</v>
      </c>
      <c r="B170" s="1334" t="s">
        <v>466</v>
      </c>
      <c r="C170" s="1334"/>
      <c r="D170" s="1334"/>
      <c r="E170" s="1334"/>
      <c r="F170" s="1334"/>
      <c r="G170" s="1334"/>
    </row>
    <row r="171" spans="1:8" s="920" customFormat="1" ht="23.1" customHeight="1" x14ac:dyDescent="0.2">
      <c r="A171" s="856" t="s">
        <v>459</v>
      </c>
      <c r="B171" s="1343" t="s">
        <v>467</v>
      </c>
      <c r="C171" s="1343"/>
      <c r="D171" s="1343"/>
      <c r="E171" s="1343"/>
      <c r="F171" s="1343"/>
      <c r="G171" s="1343"/>
    </row>
    <row r="172" spans="1:8" s="920" customFormat="1" ht="23.1" customHeight="1" x14ac:dyDescent="0.2">
      <c r="A172" s="856" t="s">
        <v>462</v>
      </c>
      <c r="B172" s="1343" t="s">
        <v>471</v>
      </c>
      <c r="C172" s="1343"/>
      <c r="D172" s="1343"/>
      <c r="E172" s="1343"/>
      <c r="F172" s="1343"/>
      <c r="G172" s="1343"/>
    </row>
    <row r="173" spans="1:8" s="920" customFormat="1" ht="23.1" customHeight="1" x14ac:dyDescent="0.2">
      <c r="A173" s="856" t="s">
        <v>459</v>
      </c>
      <c r="B173" s="1343" t="s">
        <v>468</v>
      </c>
      <c r="C173" s="1343"/>
      <c r="D173" s="1343"/>
      <c r="E173" s="1343"/>
      <c r="F173" s="1343"/>
      <c r="G173" s="1343"/>
    </row>
    <row r="174" spans="1:8" s="920" customFormat="1" ht="48" customHeight="1" x14ac:dyDescent="0.2">
      <c r="A174" s="856" t="s">
        <v>459</v>
      </c>
      <c r="B174" s="1343" t="s">
        <v>469</v>
      </c>
      <c r="C174" s="1343"/>
      <c r="D174" s="1343"/>
      <c r="E174" s="1343"/>
      <c r="F174" s="1343"/>
      <c r="G174" s="1343"/>
    </row>
    <row r="175" spans="1:8" s="922" customFormat="1" ht="23.1" customHeight="1" x14ac:dyDescent="0.2">
      <c r="A175" s="858" t="s">
        <v>459</v>
      </c>
      <c r="B175" s="1334" t="s">
        <v>470</v>
      </c>
      <c r="C175" s="1334"/>
      <c r="D175" s="1334"/>
      <c r="E175" s="1334"/>
      <c r="F175" s="1334"/>
      <c r="G175" s="1334"/>
    </row>
    <row r="176" spans="1:8" ht="20.25" customHeight="1" x14ac:dyDescent="0.2">
      <c r="A176" s="704"/>
      <c r="B176" s="886"/>
      <c r="C176" s="886"/>
      <c r="D176" s="886"/>
      <c r="E176" s="886"/>
      <c r="F176" s="886"/>
      <c r="G176" s="886"/>
    </row>
    <row r="177" spans="1:11" ht="20.100000000000001" customHeight="1" x14ac:dyDescent="0.25">
      <c r="A177" s="1420" t="s">
        <v>361</v>
      </c>
      <c r="B177" s="1420"/>
      <c r="C177" s="1420"/>
      <c r="D177" s="452"/>
      <c r="E177" s="452"/>
      <c r="F177" s="453"/>
      <c r="G177" s="453"/>
    </row>
    <row r="178" spans="1:11" ht="20.100000000000001" customHeight="1" x14ac:dyDescent="0.2">
      <c r="A178" s="886"/>
      <c r="B178" s="886"/>
      <c r="C178" s="886"/>
      <c r="D178" s="886"/>
      <c r="E178" s="886"/>
      <c r="F178" s="886"/>
      <c r="G178" s="886"/>
    </row>
    <row r="179" spans="1:11" ht="20.100000000000001" customHeight="1" x14ac:dyDescent="0.2">
      <c r="A179" s="1436"/>
      <c r="B179" s="1436"/>
      <c r="C179" s="1436"/>
      <c r="D179" s="1436"/>
      <c r="E179" s="1436"/>
      <c r="F179" s="1436"/>
      <c r="G179" s="1436"/>
    </row>
    <row r="180" spans="1:11" ht="30" customHeight="1" x14ac:dyDescent="0.2">
      <c r="A180" s="454"/>
      <c r="B180" s="454"/>
      <c r="C180" s="454"/>
      <c r="D180" s="859"/>
      <c r="E180" s="707"/>
      <c r="F180" s="707"/>
      <c r="G180" s="859"/>
    </row>
    <row r="181" spans="1:11" ht="20.100000000000001" customHeight="1" x14ac:dyDescent="0.2">
      <c r="A181" s="1437" t="s">
        <v>76</v>
      </c>
      <c r="B181" s="1437"/>
      <c r="C181" s="1437"/>
      <c r="D181" s="1437"/>
      <c r="E181" s="1437" t="s">
        <v>91</v>
      </c>
      <c r="F181" s="1437"/>
      <c r="G181" s="1437"/>
    </row>
    <row r="182" spans="1:11" ht="23.1" customHeight="1" x14ac:dyDescent="0.2">
      <c r="A182" s="1438" t="s">
        <v>294</v>
      </c>
      <c r="B182" s="1438"/>
      <c r="C182" s="1438"/>
      <c r="D182" s="1438"/>
      <c r="E182" s="1438" t="s">
        <v>295</v>
      </c>
      <c r="F182" s="1438"/>
      <c r="G182" s="1438"/>
    </row>
    <row r="183" spans="1:11" ht="23.1" customHeight="1" x14ac:dyDescent="0.2">
      <c r="A183" s="1438" t="e">
        <f>VLOOKUP($D$180,'DATOS @ '!$A$156:$D$159,4,FALSE)</f>
        <v>#N/A</v>
      </c>
      <c r="B183" s="1438"/>
      <c r="C183" s="1438"/>
      <c r="D183" s="1438"/>
      <c r="E183" s="1438" t="e">
        <f>VLOOKUP($G$180,'DATOS @ '!A156:F159,6,FALSE)</f>
        <v>#N/A</v>
      </c>
      <c r="F183" s="1438"/>
      <c r="G183" s="1438"/>
    </row>
    <row r="184" spans="1:11" ht="23.1" customHeight="1" x14ac:dyDescent="0.2">
      <c r="A184" s="1419" t="e">
        <f>VLOOKUP($D$180,'DATOS @ '!$A$156:$D$159,2,FALSE)</f>
        <v>#N/A</v>
      </c>
      <c r="B184" s="1419"/>
      <c r="C184" s="1419"/>
      <c r="D184" s="1419"/>
      <c r="E184" s="1419" t="e">
        <f>VLOOKUP($G$180,'DATOS @ '!A156:F159,2,FALSE)</f>
        <v>#N/A</v>
      </c>
      <c r="F184" s="1419"/>
      <c r="G184" s="1419"/>
    </row>
    <row r="186" spans="1:11" ht="20.25" customHeight="1" x14ac:dyDescent="0.2"/>
    <row r="187" spans="1:11" ht="23.1" customHeight="1" x14ac:dyDescent="0.2">
      <c r="A187" s="1435" t="s">
        <v>263</v>
      </c>
      <c r="B187" s="1435"/>
      <c r="C187" s="1435"/>
      <c r="D187" s="705" t="s">
        <v>453</v>
      </c>
      <c r="E187" s="1439" t="s">
        <v>472</v>
      </c>
      <c r="F187" s="1439"/>
      <c r="G187" s="418" t="s">
        <v>453</v>
      </c>
    </row>
    <row r="188" spans="1:11" ht="15" customHeight="1" x14ac:dyDescent="0.2">
      <c r="C188" s="67"/>
    </row>
    <row r="189" spans="1:11" ht="23.1" customHeight="1" x14ac:dyDescent="0.25">
      <c r="A189" s="1434" t="s">
        <v>362</v>
      </c>
      <c r="B189" s="1434"/>
      <c r="C189" s="1434"/>
      <c r="D189" s="1434"/>
      <c r="E189" s="1434"/>
      <c r="F189" s="1434"/>
      <c r="G189" s="1434"/>
      <c r="K189" s="873"/>
    </row>
  </sheetData>
  <sheetProtection password="CF5C" sheet="1" objects="1" scenarios="1"/>
  <mergeCells count="134">
    <mergeCell ref="A189:G189"/>
    <mergeCell ref="A187:C187"/>
    <mergeCell ref="A179:G179"/>
    <mergeCell ref="E181:G181"/>
    <mergeCell ref="A183:D183"/>
    <mergeCell ref="E183:G183"/>
    <mergeCell ref="A184:D184"/>
    <mergeCell ref="E184:G184"/>
    <mergeCell ref="A181:D181"/>
    <mergeCell ref="E182:G182"/>
    <mergeCell ref="E187:F187"/>
    <mergeCell ref="A182:D182"/>
    <mergeCell ref="A177:C177"/>
    <mergeCell ref="E120:F120"/>
    <mergeCell ref="A94:E94"/>
    <mergeCell ref="A96:D96"/>
    <mergeCell ref="A104:D104"/>
    <mergeCell ref="A118:G118"/>
    <mergeCell ref="A149:G149"/>
    <mergeCell ref="A153:G153"/>
    <mergeCell ref="A164:G164"/>
    <mergeCell ref="A163:D163"/>
    <mergeCell ref="E161:F161"/>
    <mergeCell ref="A144:D144"/>
    <mergeCell ref="A145:F145"/>
    <mergeCell ref="A140:G140"/>
    <mergeCell ref="A159:G159"/>
    <mergeCell ref="A102:B102"/>
    <mergeCell ref="A105:B105"/>
    <mergeCell ref="A99:B99"/>
    <mergeCell ref="A147:G147"/>
    <mergeCell ref="B171:G171"/>
    <mergeCell ref="B172:G172"/>
    <mergeCell ref="B173:G173"/>
    <mergeCell ref="B174:G174"/>
    <mergeCell ref="B175:G175"/>
    <mergeCell ref="A25:G25"/>
    <mergeCell ref="A67:C67"/>
    <mergeCell ref="A29:G29"/>
    <mergeCell ref="A39:G39"/>
    <mergeCell ref="A48:C48"/>
    <mergeCell ref="A51:C51"/>
    <mergeCell ref="D48:E48"/>
    <mergeCell ref="D49:E49"/>
    <mergeCell ref="D50:E50"/>
    <mergeCell ref="D51:E51"/>
    <mergeCell ref="A49:C49"/>
    <mergeCell ref="E43:F43"/>
    <mergeCell ref="A50:C50"/>
    <mergeCell ref="A46:G46"/>
    <mergeCell ref="A34:G34"/>
    <mergeCell ref="D52:E52"/>
    <mergeCell ref="A59:D59"/>
    <mergeCell ref="A38:C38"/>
    <mergeCell ref="A41:G41"/>
    <mergeCell ref="A55:G55"/>
    <mergeCell ref="D53:E53"/>
    <mergeCell ref="A53:C53"/>
    <mergeCell ref="A57:D57"/>
    <mergeCell ref="A61:B61"/>
    <mergeCell ref="A19:C19"/>
    <mergeCell ref="A10:C10"/>
    <mergeCell ref="E10:F10"/>
    <mergeCell ref="A18:C18"/>
    <mergeCell ref="D17:E17"/>
    <mergeCell ref="A12:G12"/>
    <mergeCell ref="D16:G16"/>
    <mergeCell ref="D7:G7"/>
    <mergeCell ref="A6:C6"/>
    <mergeCell ref="A14:C14"/>
    <mergeCell ref="A15:C15"/>
    <mergeCell ref="A17:C17"/>
    <mergeCell ref="A62:B62"/>
    <mergeCell ref="A63:B63"/>
    <mergeCell ref="A64:B64"/>
    <mergeCell ref="A65:B65"/>
    <mergeCell ref="A1:G1"/>
    <mergeCell ref="A73:G73"/>
    <mergeCell ref="D14:E14"/>
    <mergeCell ref="D15:E15"/>
    <mergeCell ref="A27:C27"/>
    <mergeCell ref="D27:F27"/>
    <mergeCell ref="A23:G23"/>
    <mergeCell ref="A16:C16"/>
    <mergeCell ref="A8:C8"/>
    <mergeCell ref="D8:E8"/>
    <mergeCell ref="A20:C20"/>
    <mergeCell ref="A44:G44"/>
    <mergeCell ref="A21:C21"/>
    <mergeCell ref="E3:F3"/>
    <mergeCell ref="A4:D4"/>
    <mergeCell ref="A60:B60"/>
    <mergeCell ref="A37:C37"/>
    <mergeCell ref="D6:G6"/>
    <mergeCell ref="A7:C7"/>
    <mergeCell ref="A31:G31"/>
    <mergeCell ref="A87:B87"/>
    <mergeCell ref="A66:B66"/>
    <mergeCell ref="A79:B79"/>
    <mergeCell ref="A80:B80"/>
    <mergeCell ref="A81:B81"/>
    <mergeCell ref="A82:B82"/>
    <mergeCell ref="A72:G72"/>
    <mergeCell ref="A69:G71"/>
    <mergeCell ref="E75:F75"/>
    <mergeCell ref="A76:C76"/>
    <mergeCell ref="A78:E78"/>
    <mergeCell ref="A83:B83"/>
    <mergeCell ref="A84:B84"/>
    <mergeCell ref="A85:B85"/>
    <mergeCell ref="A86:B86"/>
    <mergeCell ref="B168:G168"/>
    <mergeCell ref="B169:G169"/>
    <mergeCell ref="B170:G170"/>
    <mergeCell ref="A112:B112"/>
    <mergeCell ref="A113:B113"/>
    <mergeCell ref="A114:B114"/>
    <mergeCell ref="A155:B155"/>
    <mergeCell ref="B165:G165"/>
    <mergeCell ref="A88:B88"/>
    <mergeCell ref="A89:B89"/>
    <mergeCell ref="A90:B90"/>
    <mergeCell ref="A97:B97"/>
    <mergeCell ref="A98:B98"/>
    <mergeCell ref="A92:G92"/>
    <mergeCell ref="A106:B106"/>
    <mergeCell ref="A107:B107"/>
    <mergeCell ref="A108:B108"/>
    <mergeCell ref="A109:B109"/>
    <mergeCell ref="A110:B110"/>
    <mergeCell ref="A100:B100"/>
    <mergeCell ref="A101:B101"/>
    <mergeCell ref="B166:G166"/>
    <mergeCell ref="B167:G167"/>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&amp;CCERTIFICADO DE CALIBRACIÓN DE BALANZAS&amp;R&amp;"-,Negrita"&amp;12
             </oddHeader>
    <oddFooter>&amp;R&amp;8
  RT03-F15  Vr.11 (2020-05-09)
Página  &amp;P de &amp;N</oddFooter>
  </headerFooter>
  <rowBreaks count="2" manualBreakCount="2">
    <brk id="72" max="6" man="1"/>
    <brk id="15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 '!$A$156:$A$159</xm:f>
          </x14:formula1>
          <xm:sqref>G180 D180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O23"/>
  <sheetViews>
    <sheetView showGridLines="0" view="pageBreakPreview" zoomScaleNormal="140" zoomScaleSheetLayoutView="100" workbookViewId="0">
      <selection activeCell="H5" sqref="H5"/>
    </sheetView>
  </sheetViews>
  <sheetFormatPr baseColWidth="10" defaultRowHeight="15" x14ac:dyDescent="0.25"/>
  <cols>
    <col min="2" max="2" width="14.5703125" customWidth="1"/>
    <col min="3" max="3" width="12" customWidth="1"/>
    <col min="5" max="5" width="13.42578125" customWidth="1"/>
    <col min="7" max="7" width="13.140625" bestFit="1" customWidth="1"/>
    <col min="8" max="8" width="25.140625" customWidth="1"/>
    <col min="9" max="9" width="12" customWidth="1"/>
  </cols>
  <sheetData>
    <row r="2" spans="2:11" ht="15.75" thickBot="1" x14ac:dyDescent="0.3"/>
    <row r="3" spans="2:11" ht="15.75" thickBot="1" x14ac:dyDescent="0.3">
      <c r="B3" s="1440" t="s">
        <v>399</v>
      </c>
      <c r="C3" s="1441"/>
      <c r="D3" s="1441"/>
      <c r="E3" s="1441"/>
      <c r="F3" s="1441"/>
      <c r="G3" s="1441"/>
      <c r="H3" s="1441"/>
      <c r="I3" s="1442"/>
    </row>
    <row r="4" spans="2:11" ht="15.75" thickBot="1" x14ac:dyDescent="0.3">
      <c r="B4" s="1443" t="s">
        <v>405</v>
      </c>
      <c r="C4" s="1444"/>
      <c r="D4" s="1444"/>
      <c r="E4" s="1444"/>
      <c r="F4" s="1444"/>
      <c r="G4" s="1444"/>
      <c r="H4" s="1444"/>
      <c r="I4" s="1445"/>
    </row>
    <row r="5" spans="2:11" ht="58.5" customHeight="1" x14ac:dyDescent="0.25">
      <c r="B5" s="932" t="s">
        <v>494</v>
      </c>
      <c r="C5" s="933" t="s">
        <v>485</v>
      </c>
      <c r="D5" s="933" t="s">
        <v>297</v>
      </c>
      <c r="E5" s="933" t="s">
        <v>397</v>
      </c>
      <c r="F5" s="933" t="s">
        <v>492</v>
      </c>
      <c r="G5" s="933" t="s">
        <v>493</v>
      </c>
      <c r="H5" s="931" t="s">
        <v>495</v>
      </c>
      <c r="I5" s="934" t="s">
        <v>403</v>
      </c>
    </row>
    <row r="6" spans="2:11" x14ac:dyDescent="0.25">
      <c r="B6" s="548">
        <v>5</v>
      </c>
      <c r="C6" s="684" t="e">
        <f>' RT03-F15 @'!C106</f>
        <v>#DIV/0!</v>
      </c>
      <c r="D6" s="684" t="e">
        <f>' RT03-F15 @'!D106</f>
        <v>#N/A</v>
      </c>
      <c r="E6" s="609" t="e">
        <f>D6/B6</f>
        <v>#N/A</v>
      </c>
      <c r="F6" s="1458" t="e">
        <f>MAX(E6:E10)</f>
        <v>#N/A</v>
      </c>
      <c r="G6" s="1461" t="e">
        <f>MIN(E6:E10)</f>
        <v>#N/A</v>
      </c>
      <c r="H6" s="684" t="e">
        <f>'RT03-F12 @'!$M$141+('RT03-F12 @'!$O$141*' CMC @'!B6)</f>
        <v>#DIV/0!</v>
      </c>
      <c r="I6" s="552" t="e">
        <f>H6/B6</f>
        <v>#DIV/0!</v>
      </c>
    </row>
    <row r="7" spans="2:11" x14ac:dyDescent="0.25">
      <c r="B7" s="824">
        <v>1000</v>
      </c>
      <c r="C7" s="684" t="e">
        <f>' RT03-F15 @'!C107</f>
        <v>#DIV/0!</v>
      </c>
      <c r="D7" s="684" t="e">
        <f>' RT03-F15 @'!D107</f>
        <v>#N/A</v>
      </c>
      <c r="E7" s="609" t="e">
        <f t="shared" ref="E7:E10" si="0">D7/B7</f>
        <v>#N/A</v>
      </c>
      <c r="F7" s="1459"/>
      <c r="G7" s="1462"/>
      <c r="H7" s="684" t="e">
        <f>'RT03-F12 @'!$M$141+('RT03-F12 @'!$O$141*' CMC @'!B7)</f>
        <v>#DIV/0!</v>
      </c>
      <c r="I7" s="552" t="e">
        <f t="shared" ref="I7:I9" si="1">H7/B7</f>
        <v>#DIV/0!</v>
      </c>
    </row>
    <row r="8" spans="2:11" x14ac:dyDescent="0.25">
      <c r="B8" s="824">
        <v>2000</v>
      </c>
      <c r="C8" s="684" t="e">
        <f>' RT03-F15 @'!C108</f>
        <v>#DIV/0!</v>
      </c>
      <c r="D8" s="684" t="e">
        <f>' RT03-F15 @'!D108</f>
        <v>#N/A</v>
      </c>
      <c r="E8" s="609" t="e">
        <f t="shared" si="0"/>
        <v>#N/A</v>
      </c>
      <c r="F8" s="1459"/>
      <c r="G8" s="1462"/>
      <c r="H8" s="684" t="e">
        <f>'RT03-F12 @'!$M$141+('RT03-F12 @'!$O$141*' CMC @'!B8)</f>
        <v>#DIV/0!</v>
      </c>
      <c r="I8" s="552" t="e">
        <f t="shared" si="1"/>
        <v>#DIV/0!</v>
      </c>
    </row>
    <row r="9" spans="2:11" x14ac:dyDescent="0.25">
      <c r="B9" s="824">
        <v>5000</v>
      </c>
      <c r="C9" s="547" t="e">
        <f>' RT03-F15 @'!C109</f>
        <v>#DIV/0!</v>
      </c>
      <c r="D9" s="547" t="e">
        <f>' RT03-F15 @'!D109</f>
        <v>#N/A</v>
      </c>
      <c r="E9" s="609" t="e">
        <f t="shared" si="0"/>
        <v>#N/A</v>
      </c>
      <c r="F9" s="1459"/>
      <c r="G9" s="1462"/>
      <c r="H9" s="547" t="e">
        <f>'RT03-F12 @'!$M$141+('RT03-F12 @'!$O$141*' CMC @'!B9)</f>
        <v>#DIV/0!</v>
      </c>
      <c r="I9" s="552" t="e">
        <f t="shared" si="1"/>
        <v>#DIV/0!</v>
      </c>
    </row>
    <row r="10" spans="2:11" ht="15.75" thickBot="1" x14ac:dyDescent="0.3">
      <c r="B10" s="825">
        <v>8200</v>
      </c>
      <c r="C10" s="551" t="e">
        <f>' RT03-F15 @'!C110</f>
        <v>#DIV/0!</v>
      </c>
      <c r="D10" s="551" t="e">
        <f>' RT03-F15 @'!D110</f>
        <v>#N/A</v>
      </c>
      <c r="E10" s="610" t="e">
        <f t="shared" si="0"/>
        <v>#N/A</v>
      </c>
      <c r="F10" s="1460"/>
      <c r="G10" s="1463"/>
      <c r="H10" s="551" t="e">
        <f>'RT03-F12 @'!$M$141+('RT03-F12 @'!$O$141*' CMC @'!B10)</f>
        <v>#DIV/0!</v>
      </c>
      <c r="I10" s="685" t="e">
        <f>H10/B10</f>
        <v>#DIV/0!</v>
      </c>
    </row>
    <row r="11" spans="2:11" x14ac:dyDescent="0.25">
      <c r="B11" s="546"/>
      <c r="C11" s="546"/>
      <c r="D11" s="546"/>
      <c r="E11" s="546"/>
      <c r="F11" s="546"/>
      <c r="G11" s="546"/>
    </row>
    <row r="12" spans="2:11" ht="15.75" thickBot="1" x14ac:dyDescent="0.3"/>
    <row r="13" spans="2:11" ht="51" customHeight="1" thickBot="1" x14ac:dyDescent="0.3">
      <c r="B13" s="1464" t="s">
        <v>491</v>
      </c>
      <c r="C13" s="1465"/>
      <c r="D13" s="1465"/>
      <c r="E13" s="1465"/>
      <c r="F13" s="1465"/>
      <c r="G13" s="1465"/>
      <c r="H13" s="1465"/>
      <c r="I13" s="1465"/>
      <c r="J13" s="1465"/>
      <c r="K13" s="1466"/>
    </row>
    <row r="14" spans="2:11" ht="15.75" thickBot="1" x14ac:dyDescent="0.3"/>
    <row r="15" spans="2:11" ht="57" customHeight="1" x14ac:dyDescent="0.25">
      <c r="B15" s="935" t="s">
        <v>489</v>
      </c>
      <c r="C15" s="936" t="s">
        <v>401</v>
      </c>
      <c r="D15" s="1455" t="s">
        <v>400</v>
      </c>
      <c r="G15" s="1446" t="s">
        <v>490</v>
      </c>
      <c r="H15" s="1449" t="s">
        <v>404</v>
      </c>
    </row>
    <row r="16" spans="2:11" x14ac:dyDescent="0.25">
      <c r="B16" s="937">
        <v>200</v>
      </c>
      <c r="C16" s="938">
        <v>1</v>
      </c>
      <c r="D16" s="1456"/>
      <c r="G16" s="1447"/>
      <c r="H16" s="1450"/>
    </row>
    <row r="17" spans="2:15" x14ac:dyDescent="0.25">
      <c r="B17" s="939">
        <v>1000</v>
      </c>
      <c r="C17" s="938">
        <v>5</v>
      </c>
      <c r="D17" s="1456"/>
      <c r="G17" s="1447"/>
      <c r="H17" s="1450"/>
    </row>
    <row r="18" spans="2:15" x14ac:dyDescent="0.25">
      <c r="B18" s="939">
        <v>2000</v>
      </c>
      <c r="C18" s="940">
        <v>10</v>
      </c>
      <c r="D18" s="1456"/>
      <c r="G18" s="1447"/>
      <c r="H18" s="1450"/>
    </row>
    <row r="19" spans="2:15" ht="15.75" thickBot="1" x14ac:dyDescent="0.3">
      <c r="B19" s="941">
        <v>5000</v>
      </c>
      <c r="C19" s="942">
        <v>25</v>
      </c>
      <c r="D19" s="1457"/>
      <c r="G19" s="1448"/>
      <c r="H19" s="1451"/>
      <c r="O19" s="549"/>
    </row>
    <row r="20" spans="2:15" ht="15.75" thickBot="1" x14ac:dyDescent="0.3">
      <c r="B20" s="1452" t="s">
        <v>402</v>
      </c>
      <c r="C20" s="1453"/>
      <c r="D20" s="1454"/>
      <c r="G20" s="943"/>
      <c r="H20" s="944"/>
    </row>
    <row r="21" spans="2:15" ht="15.75" thickBot="1" x14ac:dyDescent="0.3">
      <c r="B21" s="928">
        <f>SUM(B16:B19)</f>
        <v>8200</v>
      </c>
      <c r="C21" s="929">
        <f>SUM(C16:C19)/1000</f>
        <v>4.1000000000000002E-2</v>
      </c>
      <c r="D21" s="930">
        <f>C21/B21</f>
        <v>5.0000000000000004E-6</v>
      </c>
      <c r="G21" s="945" t="e">
        <f>'RT03-F12 @'!$M$141+(' CMC @'!D21*' CMC @'!B21)</f>
        <v>#DIV/0!</v>
      </c>
      <c r="H21" s="946" t="e">
        <f>G21/B21</f>
        <v>#DIV/0!</v>
      </c>
      <c r="O21" s="550"/>
    </row>
    <row r="22" spans="2:15" ht="15.75" thickBot="1" x14ac:dyDescent="0.3"/>
    <row r="23" spans="2:15" ht="15.75" thickBot="1" x14ac:dyDescent="0.3">
      <c r="D23" s="686" t="e">
        <f>MIN(D21,E10,I10)</f>
        <v>#N/A</v>
      </c>
    </row>
  </sheetData>
  <sheetProtection password="CF5C" sheet="1" objects="1" scenarios="1"/>
  <mergeCells count="9">
    <mergeCell ref="B3:I3"/>
    <mergeCell ref="B4:I4"/>
    <mergeCell ref="G15:G19"/>
    <mergeCell ref="H15:H19"/>
    <mergeCell ref="B20:D20"/>
    <mergeCell ref="D15:D19"/>
    <mergeCell ref="F6:F10"/>
    <mergeCell ref="G6:G10"/>
    <mergeCell ref="B13:K13"/>
  </mergeCells>
  <pageMargins left="0.70866141732283472" right="0.70866141732283472" top="0.74803149606299213" bottom="0.74803149606299213" header="0.31496062992125984" footer="0.31496062992125984"/>
  <pageSetup scale="61" orientation="portrait" r:id="rId1"/>
  <headerFooter>
    <oddFooter>&amp;RRT03-F12 Vr.11 (2020-05-09)
Página &amp;P de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V42"/>
  <sheetViews>
    <sheetView showGridLines="0" view="pageBreakPreview" zoomScale="60" zoomScaleNormal="30" workbookViewId="0">
      <selection activeCell="E20" sqref="E20"/>
    </sheetView>
  </sheetViews>
  <sheetFormatPr baseColWidth="10" defaultRowHeight="15" x14ac:dyDescent="0.2"/>
  <cols>
    <col min="1" max="5" width="26.7109375" style="671" customWidth="1"/>
    <col min="6" max="16384" width="11.42578125" style="671"/>
  </cols>
  <sheetData>
    <row r="2" spans="1:22" ht="15" customHeight="1" x14ac:dyDescent="0.2">
      <c r="A2" s="1471" t="s">
        <v>479</v>
      </c>
      <c r="B2" s="1472"/>
      <c r="C2" s="1472"/>
      <c r="D2" s="1472"/>
      <c r="E2" s="1472"/>
      <c r="F2" s="1472"/>
      <c r="G2" s="1472"/>
      <c r="H2" s="1472"/>
      <c r="I2" s="1472"/>
      <c r="J2" s="1472"/>
      <c r="K2" s="1472"/>
      <c r="L2" s="1472"/>
      <c r="M2" s="1472"/>
      <c r="N2" s="1472"/>
      <c r="O2" s="1472"/>
      <c r="P2" s="1472"/>
      <c r="Q2" s="1472"/>
      <c r="R2" s="1472"/>
      <c r="S2" s="1472"/>
      <c r="T2" s="1472"/>
      <c r="U2" s="1472"/>
      <c r="V2" s="1472"/>
    </row>
    <row r="3" spans="1:22" ht="23.25" customHeight="1" thickBot="1" x14ac:dyDescent="0.25">
      <c r="A3" s="1471"/>
      <c r="B3" s="1472"/>
      <c r="C3" s="1472"/>
      <c r="D3" s="1472"/>
      <c r="E3" s="1472"/>
      <c r="F3" s="1472"/>
      <c r="G3" s="1472"/>
      <c r="H3" s="1472"/>
      <c r="I3" s="1472"/>
      <c r="J3" s="1472"/>
      <c r="K3" s="1472"/>
      <c r="L3" s="1472"/>
      <c r="M3" s="1472"/>
      <c r="N3" s="1472"/>
      <c r="O3" s="1472"/>
      <c r="P3" s="1472"/>
      <c r="Q3" s="1472"/>
      <c r="R3" s="1472"/>
      <c r="S3" s="1472"/>
      <c r="T3" s="1472"/>
      <c r="U3" s="1472"/>
      <c r="V3" s="1472"/>
    </row>
    <row r="4" spans="1:22" s="673" customFormat="1" ht="46.5" customHeight="1" thickBot="1" x14ac:dyDescent="0.25">
      <c r="A4" s="839"/>
      <c r="B4" s="826" t="s">
        <v>451</v>
      </c>
      <c r="C4" s="826" t="s">
        <v>452</v>
      </c>
      <c r="D4" s="672"/>
      <c r="E4" s="672"/>
    </row>
    <row r="5" spans="1:22" s="674" customFormat="1" ht="30" customHeight="1" thickBot="1" x14ac:dyDescent="0.3">
      <c r="A5" s="827" t="s">
        <v>450</v>
      </c>
      <c r="B5" s="828">
        <f>'RT03-F12 @'!C32</f>
        <v>0</v>
      </c>
      <c r="C5" s="828">
        <f>'RT03-F12 @'!C62</f>
        <v>0</v>
      </c>
      <c r="D5" s="828" t="s">
        <v>480</v>
      </c>
      <c r="E5" s="829">
        <f>'RT03-F12 @'!K28</f>
        <v>0</v>
      </c>
    </row>
    <row r="6" spans="1:22" s="674" customFormat="1" ht="30" customHeight="1" thickBot="1" x14ac:dyDescent="0.3">
      <c r="A6" s="830" t="s">
        <v>447</v>
      </c>
      <c r="B6" s="831" t="s">
        <v>105</v>
      </c>
      <c r="C6" s="831" t="s">
        <v>222</v>
      </c>
      <c r="D6" s="831" t="s">
        <v>422</v>
      </c>
      <c r="E6" s="832" t="s">
        <v>223</v>
      </c>
    </row>
    <row r="7" spans="1:22" s="674" customFormat="1" ht="48" customHeight="1" thickBot="1" x14ac:dyDescent="0.3">
      <c r="A7" s="1467"/>
      <c r="B7" s="833" t="s">
        <v>448</v>
      </c>
      <c r="C7" s="836"/>
      <c r="D7" s="837"/>
      <c r="E7" s="838"/>
    </row>
    <row r="8" spans="1:22" s="674" customFormat="1" ht="48" customHeight="1" thickBot="1" x14ac:dyDescent="0.3">
      <c r="A8" s="1468"/>
      <c r="B8" s="834" t="s">
        <v>449</v>
      </c>
      <c r="C8" s="836"/>
      <c r="D8" s="837"/>
      <c r="E8" s="838"/>
    </row>
    <row r="9" spans="1:22" s="674" customFormat="1" ht="48" customHeight="1" x14ac:dyDescent="0.25">
      <c r="A9" s="1469"/>
      <c r="B9" s="833" t="s">
        <v>481</v>
      </c>
      <c r="C9" s="677" t="e">
        <f>C7+(VLOOKUP('RT03-F12 @'!K28,'DATOS @ '!G153:T166,9,FALSE))*C7+(VLOOKUP('RT03-F12 @'!K28,'DATOS @ '!G153:T166,10,FALSE))</f>
        <v>#N/A</v>
      </c>
      <c r="D9" s="678" t="e">
        <f>D7+(VLOOKUP('RT03-F12 @'!K28,'DATOS @ '!G153:T166,11,FALSE))*D7+(VLOOKUP('RT03-F12 @'!K28,'DATOS @ '!G153:T166,12,FALSE))</f>
        <v>#N/A</v>
      </c>
      <c r="E9" s="679" t="e">
        <f>E7+(VLOOKUP('RT03-F12 @'!K28,'DATOS @ '!G153:T166,13,FALSE))*E7+(VLOOKUP('RT03-F12 @'!K28,'DATOS @ '!G153:T166,14,FALSE))</f>
        <v>#N/A</v>
      </c>
    </row>
    <row r="10" spans="1:22" s="674" customFormat="1" ht="48" customHeight="1" thickBot="1" x14ac:dyDescent="0.3">
      <c r="A10" s="1470"/>
      <c r="B10" s="835" t="s">
        <v>482</v>
      </c>
      <c r="C10" s="680" t="e">
        <f>C8+(VLOOKUP('RT03-F12 @'!K28,'DATOS @ '!G153:T166,9,FALSE))*C8+(VLOOKUP('RT03-F12 @'!K28,'DATOS @ '!G153:T166,10,FALSE))</f>
        <v>#N/A</v>
      </c>
      <c r="D10" s="681" t="e">
        <f>D8+(VLOOKUP('RT03-F12 @'!K28,'DATOS @ '!G153:T166,11,FALSE))*D8+(VLOOKUP('RT03-F12 @'!K28,'DATOS @ '!G153:T166,12,FALSE))</f>
        <v>#N/A</v>
      </c>
      <c r="E10" s="682" t="e">
        <f>E8+(VLOOKUP('RT03-F12 @'!K28,'DATOS @ '!G153:T166,13,FALSE))*E8+(VLOOKUP('RT03-F12 @'!K28,'DATOS @ '!G153:T166,14,FALSE))</f>
        <v>#N/A</v>
      </c>
    </row>
    <row r="11" spans="1:22" s="674" customFormat="1" ht="30" customHeight="1" x14ac:dyDescent="0.25">
      <c r="B11" s="675"/>
      <c r="C11" s="676"/>
      <c r="D11" s="676"/>
      <c r="E11" s="676"/>
    </row>
    <row r="12" spans="1:22" s="674" customFormat="1" ht="30" customHeight="1" x14ac:dyDescent="0.25">
      <c r="B12" s="675"/>
      <c r="C12" s="676"/>
      <c r="D12" s="676"/>
      <c r="E12" s="676"/>
    </row>
    <row r="13" spans="1:22" s="674" customFormat="1" ht="30" customHeight="1" x14ac:dyDescent="0.25"/>
    <row r="14" spans="1:22" s="674" customFormat="1" ht="30" customHeight="1" x14ac:dyDescent="0.25"/>
    <row r="15" spans="1:22" s="674" customFormat="1" ht="30" customHeight="1" x14ac:dyDescent="0.25"/>
    <row r="16" spans="1:22" s="674" customFormat="1" x14ac:dyDescent="0.25"/>
    <row r="17" s="674" customFormat="1" x14ac:dyDescent="0.25"/>
    <row r="18" s="674" customFormat="1" x14ac:dyDescent="0.25"/>
    <row r="19" s="674" customFormat="1" x14ac:dyDescent="0.25"/>
    <row r="20" s="674" customFormat="1" x14ac:dyDescent="0.25"/>
    <row r="21" s="674" customFormat="1" x14ac:dyDescent="0.25"/>
    <row r="22" s="674" customFormat="1" x14ac:dyDescent="0.25"/>
    <row r="23" s="674" customFormat="1" x14ac:dyDescent="0.25"/>
    <row r="24" s="674" customFormat="1" x14ac:dyDescent="0.25"/>
    <row r="25" s="674" customFormat="1" x14ac:dyDescent="0.25"/>
    <row r="26" s="674" customFormat="1" x14ac:dyDescent="0.25"/>
    <row r="27" s="674" customFormat="1" x14ac:dyDescent="0.25"/>
    <row r="28" s="674" customFormat="1" x14ac:dyDescent="0.25"/>
    <row r="29" s="674" customFormat="1" x14ac:dyDescent="0.25"/>
    <row r="30" s="674" customFormat="1" x14ac:dyDescent="0.25"/>
    <row r="31" s="674" customFormat="1" x14ac:dyDescent="0.25"/>
    <row r="32" s="674" customFormat="1" x14ac:dyDescent="0.25"/>
    <row r="33" s="674" customFormat="1" x14ac:dyDescent="0.25"/>
    <row r="34" s="674" customFormat="1" x14ac:dyDescent="0.25"/>
    <row r="35" s="674" customFormat="1" x14ac:dyDescent="0.25"/>
    <row r="36" s="674" customFormat="1" x14ac:dyDescent="0.25"/>
    <row r="37" s="674" customFormat="1" x14ac:dyDescent="0.25"/>
    <row r="38" s="674" customFormat="1" x14ac:dyDescent="0.25"/>
    <row r="39" s="674" customFormat="1" x14ac:dyDescent="0.25"/>
    <row r="40" s="674" customFormat="1" x14ac:dyDescent="0.25"/>
    <row r="41" s="674" customFormat="1" x14ac:dyDescent="0.25"/>
    <row r="42" s="674" customFormat="1" x14ac:dyDescent="0.25"/>
  </sheetData>
  <sheetProtection password="CF5C" sheet="1" objects="1" scenarios="1"/>
  <mergeCells count="2">
    <mergeCell ref="A7:A10"/>
    <mergeCell ref="A2:V3"/>
  </mergeCells>
  <pageMargins left="0.70866141732283472" right="0.70866141732283472" top="0.74803149606299213" bottom="0.74803149606299213" header="0.31496062992125984" footer="0.31496062992125984"/>
  <pageSetup scale="26" orientation="portrait" r:id="rId1"/>
  <headerFooter>
    <oddFooter>&amp;RRT03-F12 Vr.11 (2020-05-09)
Página &amp;P de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89"/>
  <sheetViews>
    <sheetView showGridLines="0" showRuler="0" showWhiteSpace="0" view="pageBreakPreview" zoomScaleNormal="110" zoomScaleSheetLayoutView="100" zoomScalePageLayoutView="85" workbookViewId="0">
      <selection activeCell="K1" sqref="K1"/>
    </sheetView>
  </sheetViews>
  <sheetFormatPr baseColWidth="10" defaultRowHeight="15" customHeight="1" x14ac:dyDescent="0.2"/>
  <cols>
    <col min="1" max="1" width="2" style="60" customWidth="1"/>
    <col min="2" max="2" width="16.85546875" style="60" customWidth="1"/>
    <col min="3" max="3" width="19.5703125" style="60" customWidth="1"/>
    <col min="4" max="6" width="17.7109375" style="60" customWidth="1"/>
    <col min="7" max="7" width="21.28515625" style="60" customWidth="1"/>
    <col min="8" max="14" width="11.42578125" style="60"/>
    <col min="15" max="15" width="7.140625" style="60" customWidth="1"/>
    <col min="16" max="18" width="11.42578125" style="60" hidden="1" customWidth="1"/>
    <col min="19" max="16384" width="11.42578125" style="60"/>
  </cols>
  <sheetData>
    <row r="1" spans="1:7" ht="120" customHeight="1" x14ac:dyDescent="0.2">
      <c r="A1" s="1377"/>
      <c r="B1" s="1377"/>
      <c r="C1" s="1377"/>
      <c r="D1" s="1377"/>
      <c r="E1" s="1377"/>
      <c r="F1" s="1377"/>
      <c r="G1" s="1377"/>
    </row>
    <row r="2" spans="1:7" ht="23.1" customHeight="1" x14ac:dyDescent="0.2">
      <c r="A2" s="890"/>
      <c r="B2" s="890"/>
      <c r="C2" s="890"/>
    </row>
    <row r="3" spans="1:7" ht="23.1" customHeight="1" x14ac:dyDescent="0.2">
      <c r="A3" s="890"/>
      <c r="B3" s="890"/>
      <c r="C3" s="890"/>
      <c r="E3" s="1370" t="s">
        <v>483</v>
      </c>
      <c r="F3" s="1370"/>
      <c r="G3" s="417" t="e">
        <f>'RT03-F12 @'!I6</f>
        <v>#N/A</v>
      </c>
    </row>
    <row r="4" spans="1:7" ht="20.100000000000001" customHeight="1" x14ac:dyDescent="0.2">
      <c r="A4" s="1381" t="s">
        <v>66</v>
      </c>
      <c r="B4" s="1381"/>
      <c r="C4" s="1381"/>
      <c r="D4" s="1381"/>
    </row>
    <row r="5" spans="1:7" ht="15.75" customHeight="1" x14ac:dyDescent="0.2">
      <c r="A5" s="418"/>
      <c r="B5" s="418"/>
      <c r="C5" s="891"/>
      <c r="D5" s="891"/>
      <c r="E5" s="891"/>
      <c r="F5" s="891"/>
      <c r="G5" s="891"/>
    </row>
    <row r="6" spans="1:7" ht="33" customHeight="1" x14ac:dyDescent="0.2">
      <c r="A6" s="1380" t="s">
        <v>251</v>
      </c>
      <c r="B6" s="1380"/>
      <c r="C6" s="1380"/>
      <c r="D6" s="1383" t="e">
        <f>'RT03-F12 @'!G6</f>
        <v>#N/A</v>
      </c>
      <c r="E6" s="1384"/>
      <c r="F6" s="1384"/>
      <c r="G6" s="1384"/>
    </row>
    <row r="7" spans="1:7" ht="23.1" customHeight="1" x14ac:dyDescent="0.2">
      <c r="A7" s="1380" t="s">
        <v>67</v>
      </c>
      <c r="B7" s="1380"/>
      <c r="C7" s="1380"/>
      <c r="D7" s="1392" t="e">
        <f>'RT03-F12 @'!H6</f>
        <v>#N/A</v>
      </c>
      <c r="E7" s="1392"/>
      <c r="F7" s="1392"/>
      <c r="G7" s="1392"/>
    </row>
    <row r="8" spans="1:7" ht="23.1" customHeight="1" x14ac:dyDescent="0.2">
      <c r="A8" s="1380" t="s">
        <v>68</v>
      </c>
      <c r="B8" s="1380"/>
      <c r="C8" s="1380"/>
      <c r="D8" s="1383" t="e">
        <f>'RT03-F12 @'!B6</f>
        <v>#N/A</v>
      </c>
      <c r="E8" s="1384"/>
      <c r="F8" s="909"/>
      <c r="G8" s="909"/>
    </row>
    <row r="9" spans="1:7" ht="15" customHeight="1" x14ac:dyDescent="0.2">
      <c r="A9" s="905"/>
      <c r="B9" s="905"/>
      <c r="C9" s="905"/>
      <c r="D9" s="907"/>
      <c r="E9" s="905"/>
      <c r="F9" s="419"/>
      <c r="G9" s="419"/>
    </row>
    <row r="10" spans="1:7" ht="23.1" customHeight="1" x14ac:dyDescent="0.2">
      <c r="A10" s="1380" t="s">
        <v>69</v>
      </c>
      <c r="B10" s="1380"/>
      <c r="C10" s="1380"/>
      <c r="D10" s="420" t="e">
        <f>'RT03-F12 @'!C6</f>
        <v>#N/A</v>
      </c>
      <c r="E10" s="1391" t="s">
        <v>71</v>
      </c>
      <c r="F10" s="1391"/>
      <c r="G10" s="420" t="e">
        <f>'RT03-F12 @'!F6</f>
        <v>#N/A</v>
      </c>
    </row>
    <row r="11" spans="1:7" ht="15" customHeight="1" x14ac:dyDescent="0.2">
      <c r="A11" s="905"/>
      <c r="B11" s="905"/>
      <c r="C11" s="905"/>
      <c r="D11" s="420"/>
      <c r="E11" s="906"/>
      <c r="F11" s="906"/>
      <c r="G11" s="420"/>
    </row>
    <row r="12" spans="1:7" ht="23.1" customHeight="1" x14ac:dyDescent="0.2">
      <c r="A12" s="1381" t="s">
        <v>284</v>
      </c>
      <c r="B12" s="1381"/>
      <c r="C12" s="1381"/>
      <c r="D12" s="1381"/>
      <c r="E12" s="1381"/>
      <c r="F12" s="1381"/>
      <c r="G12" s="1381"/>
    </row>
    <row r="13" spans="1:7" ht="12" customHeight="1" x14ac:dyDescent="0.2">
      <c r="A13" s="905"/>
      <c r="B13" s="905"/>
      <c r="C13" s="905"/>
      <c r="D13" s="905"/>
      <c r="E13" s="905"/>
      <c r="F13" s="419"/>
      <c r="G13" s="419"/>
    </row>
    <row r="14" spans="1:7" ht="23.1" customHeight="1" x14ac:dyDescent="0.2">
      <c r="A14" s="1380" t="s">
        <v>303</v>
      </c>
      <c r="B14" s="1380"/>
      <c r="C14" s="1380"/>
      <c r="D14" s="1481" t="s">
        <v>455</v>
      </c>
      <c r="E14" s="1481"/>
      <c r="F14" s="419"/>
      <c r="G14" s="419"/>
    </row>
    <row r="15" spans="1:7" ht="23.1" customHeight="1" x14ac:dyDescent="0.2">
      <c r="A15" s="1380" t="s">
        <v>304</v>
      </c>
      <c r="B15" s="1380"/>
      <c r="C15" s="1380"/>
      <c r="D15" s="1380" t="e">
        <f>'RT03-F12 @'!D9</f>
        <v>#N/A</v>
      </c>
      <c r="E15" s="1380"/>
      <c r="F15" s="419"/>
      <c r="G15" s="419"/>
    </row>
    <row r="16" spans="1:7" ht="23.1" customHeight="1" x14ac:dyDescent="0.2">
      <c r="A16" s="1380" t="s">
        <v>438</v>
      </c>
      <c r="B16" s="1380"/>
      <c r="C16" s="1380"/>
      <c r="D16" s="1380" t="e">
        <f>'RT03-F12 @'!D11</f>
        <v>#N/A</v>
      </c>
      <c r="E16" s="1380"/>
      <c r="F16" s="1380"/>
      <c r="G16" s="1380"/>
    </row>
    <row r="17" spans="1:7" ht="23.1" customHeight="1" x14ac:dyDescent="0.2">
      <c r="A17" s="1380" t="s">
        <v>305</v>
      </c>
      <c r="B17" s="1380"/>
      <c r="C17" s="1380"/>
      <c r="D17" s="1380" t="e">
        <f>'RT03-F12 @'!D10</f>
        <v>#N/A</v>
      </c>
      <c r="E17" s="1380"/>
      <c r="F17" s="419"/>
      <c r="G17" s="419"/>
    </row>
    <row r="18" spans="1:7" ht="23.1" customHeight="1" x14ac:dyDescent="0.2">
      <c r="A18" s="1380" t="s">
        <v>306</v>
      </c>
      <c r="B18" s="1380"/>
      <c r="C18" s="1380"/>
      <c r="D18" s="422" t="e">
        <f>'RT03-F12 @'!D12</f>
        <v>#N/A</v>
      </c>
      <c r="E18" s="905"/>
      <c r="F18" s="423"/>
      <c r="G18" s="905"/>
    </row>
    <row r="19" spans="1:7" ht="23.1" customHeight="1" x14ac:dyDescent="0.2">
      <c r="A19" s="1385" t="s">
        <v>307</v>
      </c>
      <c r="B19" s="1385"/>
      <c r="C19" s="1385"/>
      <c r="D19" s="424" t="e">
        <f>'RT03-F12 @'!D13</f>
        <v>#N/A</v>
      </c>
      <c r="E19" s="904"/>
      <c r="F19" s="904"/>
      <c r="G19" s="904"/>
    </row>
    <row r="20" spans="1:7" ht="23.1" customHeight="1" x14ac:dyDescent="0.2">
      <c r="A20" s="1385" t="s">
        <v>308</v>
      </c>
      <c r="B20" s="1385"/>
      <c r="C20" s="1385"/>
      <c r="D20" s="425" t="e">
        <f>'RT03-F12 @'!D14</f>
        <v>#N/A</v>
      </c>
      <c r="E20" s="904"/>
      <c r="F20" s="904"/>
      <c r="G20" s="904"/>
    </row>
    <row r="21" spans="1:7" ht="23.1" customHeight="1" x14ac:dyDescent="0.2">
      <c r="A21" s="1385" t="s">
        <v>309</v>
      </c>
      <c r="B21" s="1385"/>
      <c r="C21" s="1385"/>
      <c r="D21" s="424" t="e">
        <f>'RT03-F12 @'!D15</f>
        <v>#N/A</v>
      </c>
      <c r="E21" s="904"/>
      <c r="F21" s="904"/>
      <c r="G21" s="904"/>
    </row>
    <row r="22" spans="1:7" ht="12" customHeight="1" x14ac:dyDescent="0.2"/>
    <row r="23" spans="1:7" ht="23.1" customHeight="1" x14ac:dyDescent="0.2">
      <c r="A23" s="1381" t="s">
        <v>285</v>
      </c>
      <c r="B23" s="1381"/>
      <c r="C23" s="1381"/>
      <c r="D23" s="1381"/>
      <c r="E23" s="1381"/>
      <c r="F23" s="1381"/>
      <c r="G23" s="1381"/>
    </row>
    <row r="24" spans="1:7" ht="12" customHeight="1" x14ac:dyDescent="0.2">
      <c r="A24" s="897"/>
      <c r="B24" s="897"/>
      <c r="C24" s="897"/>
      <c r="D24" s="897"/>
      <c r="E24" s="897"/>
      <c r="F24" s="897"/>
      <c r="G24" s="897"/>
    </row>
    <row r="25" spans="1:7" ht="23.1" customHeight="1" x14ac:dyDescent="0.2">
      <c r="A25" s="1393" t="e">
        <f>'RT03-F12 @'!E6</f>
        <v>#N/A</v>
      </c>
      <c r="B25" s="1393"/>
      <c r="C25" s="1393"/>
      <c r="D25" s="1393"/>
      <c r="E25" s="1393"/>
      <c r="F25" s="1393"/>
      <c r="G25" s="1393"/>
    </row>
    <row r="26" spans="1:7" ht="12" customHeight="1" x14ac:dyDescent="0.2">
      <c r="A26" s="426"/>
      <c r="B26" s="426"/>
      <c r="C26" s="891"/>
      <c r="D26" s="426"/>
      <c r="E26" s="891"/>
      <c r="F26" s="427"/>
      <c r="G26" s="427"/>
    </row>
    <row r="27" spans="1:7" ht="23.1" customHeight="1" x14ac:dyDescent="0.2">
      <c r="A27" s="1381" t="s">
        <v>286</v>
      </c>
      <c r="B27" s="1381"/>
      <c r="C27" s="1381"/>
      <c r="D27" s="1382" t="e">
        <f>'RT03-F12 @'!D6</f>
        <v>#N/A</v>
      </c>
      <c r="E27" s="1382"/>
      <c r="F27" s="1382"/>
      <c r="G27" s="427"/>
    </row>
    <row r="28" spans="1:7" ht="12" customHeight="1" x14ac:dyDescent="0.2">
      <c r="E28" s="428"/>
      <c r="F28" s="891"/>
      <c r="G28" s="891"/>
    </row>
    <row r="29" spans="1:7" ht="23.1" customHeight="1" x14ac:dyDescent="0.2">
      <c r="A29" s="1397" t="s">
        <v>287</v>
      </c>
      <c r="B29" s="1397"/>
      <c r="C29" s="1397"/>
      <c r="D29" s="1397"/>
      <c r="E29" s="1397"/>
      <c r="F29" s="1397"/>
      <c r="G29" s="1397"/>
    </row>
    <row r="30" spans="1:7" ht="15" customHeight="1" x14ac:dyDescent="0.2">
      <c r="A30" s="429"/>
      <c r="B30" s="429"/>
      <c r="C30" s="429"/>
      <c r="D30" s="429"/>
      <c r="E30" s="428"/>
      <c r="F30" s="891"/>
      <c r="G30" s="891"/>
    </row>
    <row r="31" spans="1:7" s="922" customFormat="1" ht="33" customHeight="1" x14ac:dyDescent="0.2">
      <c r="A31" s="1390" t="s">
        <v>325</v>
      </c>
      <c r="B31" s="1390"/>
      <c r="C31" s="1390"/>
      <c r="D31" s="1390"/>
      <c r="E31" s="1390"/>
      <c r="F31" s="1390"/>
      <c r="G31" s="1390"/>
    </row>
    <row r="32" spans="1:7" ht="25.5" customHeight="1" x14ac:dyDescent="0.2">
      <c r="A32" s="767"/>
      <c r="B32" s="767"/>
      <c r="C32" s="767"/>
      <c r="D32" s="767"/>
      <c r="E32" s="767"/>
      <c r="F32" s="767"/>
      <c r="G32" s="767"/>
    </row>
    <row r="33" spans="1:8" ht="15" customHeight="1" x14ac:dyDescent="0.2">
      <c r="A33" s="430"/>
      <c r="B33" s="430"/>
      <c r="C33" s="430"/>
      <c r="D33" s="430"/>
      <c r="E33" s="430"/>
      <c r="F33" s="430"/>
      <c r="G33" s="430"/>
    </row>
    <row r="34" spans="1:8" ht="23.1" customHeight="1" x14ac:dyDescent="0.2">
      <c r="A34" s="1381" t="s">
        <v>395</v>
      </c>
      <c r="B34" s="1381"/>
      <c r="C34" s="1381"/>
      <c r="D34" s="1381"/>
      <c r="E34" s="1381"/>
      <c r="F34" s="1381"/>
      <c r="G34" s="1381"/>
    </row>
    <row r="35" spans="1:8" ht="30" customHeight="1" thickBot="1" x14ac:dyDescent="0.25">
      <c r="A35" s="897"/>
      <c r="B35" s="897"/>
      <c r="C35" s="897"/>
      <c r="D35" s="897"/>
      <c r="E35" s="897"/>
      <c r="G35" s="611"/>
    </row>
    <row r="36" spans="1:8" ht="33" customHeight="1" thickBot="1" x14ac:dyDescent="0.25">
      <c r="A36" s="768"/>
      <c r="B36" s="768"/>
      <c r="C36" s="768"/>
      <c r="D36" s="769" t="s">
        <v>5</v>
      </c>
      <c r="E36" s="769" t="s">
        <v>435</v>
      </c>
      <c r="F36" s="769" t="s">
        <v>4</v>
      </c>
      <c r="G36" s="897"/>
    </row>
    <row r="37" spans="1:8" ht="33" customHeight="1" thickBot="1" x14ac:dyDescent="0.25">
      <c r="A37" s="1341" t="s">
        <v>411</v>
      </c>
      <c r="B37" s="1342"/>
      <c r="C37" s="1389"/>
      <c r="D37" s="771" t="e">
        <f>'RT03-F12 @'!E64</f>
        <v>#N/A</v>
      </c>
      <c r="E37" s="772" t="e">
        <f>'RT03-F12 @'!G64</f>
        <v>#N/A</v>
      </c>
      <c r="F37" s="441" t="e">
        <f>'RT03-F12 @'!I64</f>
        <v>#N/A</v>
      </c>
      <c r="G37" s="897"/>
    </row>
    <row r="38" spans="1:8" ht="33" customHeight="1" thickBot="1" x14ac:dyDescent="0.25">
      <c r="A38" s="1341" t="s">
        <v>412</v>
      </c>
      <c r="B38" s="1342"/>
      <c r="C38" s="1389"/>
      <c r="D38" s="773" t="e">
        <f>'RT03-F12 @'!E65</f>
        <v>#N/A</v>
      </c>
      <c r="E38" s="774" t="e">
        <f>'RT03-F12 @'!G65</f>
        <v>#N/A</v>
      </c>
      <c r="F38" s="774" t="e">
        <f>'RT03-F12 @'!I65</f>
        <v>#N/A</v>
      </c>
      <c r="G38" s="897"/>
    </row>
    <row r="39" spans="1:8" ht="27.75" customHeight="1" x14ac:dyDescent="0.2">
      <c r="A39" s="1398" t="s">
        <v>434</v>
      </c>
      <c r="B39" s="1398"/>
      <c r="C39" s="1398"/>
      <c r="D39" s="1398"/>
      <c r="E39" s="1398"/>
      <c r="F39" s="1398"/>
      <c r="G39" s="1398"/>
    </row>
    <row r="41" spans="1:8" ht="120" customHeight="1" x14ac:dyDescent="0.2">
      <c r="A41" s="1419"/>
      <c r="B41" s="1419"/>
      <c r="C41" s="1419"/>
      <c r="D41" s="1419"/>
      <c r="E41" s="1419"/>
      <c r="F41" s="1419"/>
      <c r="G41" s="1419"/>
      <c r="H41" s="618"/>
    </row>
    <row r="42" spans="1:8" ht="23.1" customHeight="1" x14ac:dyDescent="0.2">
      <c r="A42" s="894"/>
      <c r="B42" s="894"/>
      <c r="C42" s="894"/>
      <c r="D42" s="894"/>
    </row>
    <row r="43" spans="1:8" ht="23.1" customHeight="1" x14ac:dyDescent="0.2">
      <c r="A43" s="894"/>
      <c r="B43" s="894"/>
      <c r="C43" s="894"/>
      <c r="D43" s="894"/>
      <c r="E43" s="1370" t="s">
        <v>484</v>
      </c>
      <c r="F43" s="1370"/>
      <c r="G43" s="417" t="e">
        <f>G3</f>
        <v>#N/A</v>
      </c>
    </row>
    <row r="44" spans="1:8" ht="23.1" customHeight="1" x14ac:dyDescent="0.2">
      <c r="A44" s="1386" t="s">
        <v>298</v>
      </c>
      <c r="B44" s="1386"/>
      <c r="C44" s="1386"/>
      <c r="D44" s="1386"/>
      <c r="E44" s="1386"/>
      <c r="F44" s="1386"/>
      <c r="G44" s="1386"/>
    </row>
    <row r="45" spans="1:8" ht="12" customHeight="1" x14ac:dyDescent="0.2">
      <c r="A45" s="902"/>
      <c r="B45" s="902"/>
      <c r="C45" s="902"/>
      <c r="D45" s="902"/>
      <c r="E45" s="902"/>
      <c r="F45" s="902"/>
      <c r="G45" s="902"/>
    </row>
    <row r="46" spans="1:8" s="922" customFormat="1" ht="48" customHeight="1" x14ac:dyDescent="0.2">
      <c r="A46" s="1334" t="s">
        <v>288</v>
      </c>
      <c r="B46" s="1334"/>
      <c r="C46" s="1334"/>
      <c r="D46" s="1334"/>
      <c r="E46" s="1334"/>
      <c r="F46" s="1334"/>
      <c r="G46" s="1334"/>
    </row>
    <row r="47" spans="1:8" ht="12" customHeight="1" thickBot="1" x14ac:dyDescent="0.25">
      <c r="A47" s="431"/>
      <c r="B47" s="431"/>
      <c r="C47" s="431"/>
      <c r="D47" s="431"/>
      <c r="E47" s="431"/>
      <c r="F47" s="431"/>
      <c r="G47" s="431"/>
    </row>
    <row r="48" spans="1:8" ht="30" customHeight="1" thickBot="1" x14ac:dyDescent="0.25">
      <c r="A48" s="1399" t="s">
        <v>300</v>
      </c>
      <c r="B48" s="1400"/>
      <c r="C48" s="1401"/>
      <c r="D48" s="1405" t="e">
        <f>'RT03-F12 @'!I11</f>
        <v>#N/A</v>
      </c>
      <c r="E48" s="1406"/>
      <c r="F48" s="894"/>
      <c r="G48" s="894"/>
    </row>
    <row r="49" spans="1:7" ht="30" customHeight="1" thickBot="1" x14ac:dyDescent="0.25">
      <c r="A49" s="1399" t="s">
        <v>299</v>
      </c>
      <c r="B49" s="1400"/>
      <c r="C49" s="1401"/>
      <c r="D49" s="1407" t="s">
        <v>454</v>
      </c>
      <c r="E49" s="1408"/>
      <c r="F49" s="891"/>
      <c r="G49" s="891"/>
    </row>
    <row r="50" spans="1:7" ht="30" customHeight="1" thickBot="1" x14ac:dyDescent="0.25">
      <c r="A50" s="1399" t="s">
        <v>302</v>
      </c>
      <c r="B50" s="1400"/>
      <c r="C50" s="1401"/>
      <c r="D50" s="1409" t="e">
        <f>'RT03-F12 @'!I12</f>
        <v>#N/A</v>
      </c>
      <c r="E50" s="1410"/>
      <c r="F50" s="891"/>
      <c r="G50" s="891"/>
    </row>
    <row r="51" spans="1:7" ht="30" customHeight="1" thickBot="1" x14ac:dyDescent="0.25">
      <c r="A51" s="1402" t="s">
        <v>184</v>
      </c>
      <c r="B51" s="1403"/>
      <c r="C51" s="1404"/>
      <c r="D51" s="1411" t="e">
        <f>'RT03-F12 @'!I13</f>
        <v>#N/A</v>
      </c>
      <c r="E51" s="1412"/>
      <c r="F51" s="891"/>
      <c r="G51" s="891"/>
    </row>
    <row r="52" spans="1:7" ht="30" customHeight="1" thickBot="1" x14ac:dyDescent="0.25">
      <c r="A52" s="821" t="s">
        <v>246</v>
      </c>
      <c r="B52" s="821"/>
      <c r="C52" s="822"/>
      <c r="D52" s="1413" t="e">
        <f>'RT03-F12 @'!I15</f>
        <v>#N/A</v>
      </c>
      <c r="E52" s="1414"/>
      <c r="F52" s="891"/>
      <c r="G52" s="891"/>
    </row>
    <row r="53" spans="1:7" ht="30" customHeight="1" thickBot="1" x14ac:dyDescent="0.25">
      <c r="A53" s="1399" t="s">
        <v>301</v>
      </c>
      <c r="B53" s="1400"/>
      <c r="C53" s="1401"/>
      <c r="D53" s="1407" t="e">
        <f>'RT03-F12 @'!G21&amp;" g  - "&amp;'RT03-F12 @'!B26&amp;" g  - "&amp;'RT03-F12 @'!G22/1000&amp;" kg  - "&amp;'RT03-F12 @'!G23/1000&amp;" kg  - "&amp;'RT03-F12 @'!G24/1000&amp;" kg "</f>
        <v>#N/A</v>
      </c>
      <c r="E53" s="1408"/>
      <c r="F53" s="891"/>
      <c r="G53" s="891"/>
    </row>
    <row r="54" spans="1:7" ht="30" customHeight="1" x14ac:dyDescent="0.2">
      <c r="A54" s="897"/>
      <c r="B54" s="897"/>
      <c r="C54" s="897"/>
      <c r="D54" s="905"/>
      <c r="E54" s="905"/>
      <c r="F54" s="891"/>
      <c r="G54" s="891"/>
    </row>
    <row r="55" spans="1:7" ht="23.1" customHeight="1" x14ac:dyDescent="0.2">
      <c r="A55" s="1386" t="s">
        <v>289</v>
      </c>
      <c r="B55" s="1386"/>
      <c r="C55" s="1386"/>
      <c r="D55" s="1386"/>
      <c r="E55" s="1386"/>
      <c r="F55" s="1386"/>
      <c r="G55" s="1386"/>
    </row>
    <row r="56" spans="1:7" ht="12" customHeight="1" x14ac:dyDescent="0.2">
      <c r="A56" s="894"/>
      <c r="B56" s="894"/>
      <c r="C56" s="894"/>
      <c r="D56" s="894"/>
      <c r="E56" s="894"/>
      <c r="F56" s="894"/>
      <c r="G56" s="894"/>
    </row>
    <row r="57" spans="1:7" ht="20.100000000000001" customHeight="1" x14ac:dyDescent="0.2">
      <c r="A57" s="1371" t="s">
        <v>73</v>
      </c>
      <c r="B57" s="1371"/>
      <c r="C57" s="1371"/>
      <c r="D57" s="1371"/>
      <c r="E57" s="894"/>
      <c r="F57" s="541"/>
      <c r="G57" s="894"/>
    </row>
    <row r="58" spans="1:7" ht="12" customHeight="1" thickBot="1" x14ac:dyDescent="0.25">
      <c r="A58" s="894"/>
      <c r="B58" s="894"/>
      <c r="C58" s="894"/>
      <c r="D58" s="894"/>
      <c r="E58" s="891"/>
      <c r="F58" s="891"/>
      <c r="G58" s="891"/>
    </row>
    <row r="59" spans="1:7" ht="30" customHeight="1" thickBot="1" x14ac:dyDescent="0.25">
      <c r="A59" s="1415" t="s">
        <v>257</v>
      </c>
      <c r="B59" s="1416"/>
      <c r="C59" s="1417"/>
      <c r="D59" s="1418"/>
      <c r="E59" s="894"/>
      <c r="F59" s="894"/>
      <c r="G59" s="894"/>
    </row>
    <row r="60" spans="1:7" ht="30" customHeight="1" thickBot="1" x14ac:dyDescent="0.25">
      <c r="A60" s="1387" t="str">
        <f>'RT03-F12 @'!C34</f>
        <v>Carga</v>
      </c>
      <c r="B60" s="1388"/>
      <c r="C60" s="432">
        <f>'RT03-F12 @'!E34</f>
        <v>0</v>
      </c>
      <c r="D60" s="903" t="str">
        <f>'RT03-F12 @'!D34</f>
        <v>(g)</v>
      </c>
      <c r="E60" s="894"/>
      <c r="F60" s="892" t="s">
        <v>72</v>
      </c>
      <c r="G60" s="894"/>
    </row>
    <row r="61" spans="1:7" ht="30" customHeight="1" thickBot="1" x14ac:dyDescent="0.25">
      <c r="A61" s="1387" t="str">
        <f>'RT03-F12 @'!B35</f>
        <v>Posición</v>
      </c>
      <c r="B61" s="1388"/>
      <c r="C61" s="433" t="str">
        <f>'RT03-F12 @'!B36</f>
        <v>Indicación (g)</v>
      </c>
      <c r="D61" s="434" t="s">
        <v>102</v>
      </c>
      <c r="E61" s="894"/>
      <c r="F61" s="894"/>
      <c r="G61" s="894"/>
    </row>
    <row r="62" spans="1:7" ht="30" customHeight="1" x14ac:dyDescent="0.2">
      <c r="A62" s="1373">
        <f>'RT03-F12 @'!C35</f>
        <v>1</v>
      </c>
      <c r="B62" s="1374"/>
      <c r="C62" s="435">
        <f>'RT03-F12 @'!C36</f>
        <v>0</v>
      </c>
      <c r="D62" s="436">
        <f>'RT03-F12 @'!C37</f>
        <v>0</v>
      </c>
      <c r="E62" s="894"/>
      <c r="G62" s="894"/>
    </row>
    <row r="63" spans="1:7" ht="30" customHeight="1" x14ac:dyDescent="0.2">
      <c r="A63" s="1375">
        <f>'RT03-F12 @'!D35</f>
        <v>2</v>
      </c>
      <c r="B63" s="1376"/>
      <c r="C63" s="437">
        <f>'RT03-F12 @'!D36</f>
        <v>0</v>
      </c>
      <c r="D63" s="438">
        <f>'RT03-F12 @'!D37</f>
        <v>0</v>
      </c>
      <c r="E63" s="894"/>
      <c r="F63" s="894"/>
      <c r="G63" s="894"/>
    </row>
    <row r="64" spans="1:7" ht="30" customHeight="1" x14ac:dyDescent="0.2">
      <c r="A64" s="1375">
        <f>'RT03-F12 @'!E35</f>
        <v>3</v>
      </c>
      <c r="B64" s="1376"/>
      <c r="C64" s="439">
        <f>'RT03-F12 @'!E36</f>
        <v>0</v>
      </c>
      <c r="D64" s="438">
        <f>'RT03-F12 @'!E37</f>
        <v>0</v>
      </c>
      <c r="E64" s="894"/>
      <c r="F64" s="894"/>
      <c r="G64" s="894"/>
    </row>
    <row r="65" spans="1:7" ht="30" customHeight="1" x14ac:dyDescent="0.2">
      <c r="A65" s="1375">
        <f>'RT03-F12 @'!F35</f>
        <v>4</v>
      </c>
      <c r="B65" s="1376"/>
      <c r="C65" s="439">
        <f>'RT03-F12 @'!F36</f>
        <v>0</v>
      </c>
      <c r="D65" s="438">
        <f>'RT03-F12 @'!F37</f>
        <v>0</v>
      </c>
      <c r="E65" s="894"/>
      <c r="F65" s="894"/>
      <c r="G65" s="894"/>
    </row>
    <row r="66" spans="1:7" ht="30" customHeight="1" thickBot="1" x14ac:dyDescent="0.25">
      <c r="A66" s="1360">
        <f>'RT03-F12 @'!G35</f>
        <v>5</v>
      </c>
      <c r="B66" s="1361"/>
      <c r="C66" s="437">
        <f>'RT03-F12 @'!G36</f>
        <v>0</v>
      </c>
      <c r="D66" s="440">
        <f>'RT03-F12 @'!G37</f>
        <v>0</v>
      </c>
      <c r="E66" s="894"/>
      <c r="F66" s="894"/>
      <c r="G66" s="894"/>
    </row>
    <row r="67" spans="1:7" ht="30" customHeight="1" thickBot="1" x14ac:dyDescent="0.25">
      <c r="A67" s="1394" t="s">
        <v>290</v>
      </c>
      <c r="B67" s="1395"/>
      <c r="C67" s="1396"/>
      <c r="D67" s="441">
        <f>'RT03-F12 @'!C39/1000</f>
        <v>0</v>
      </c>
      <c r="E67" s="894"/>
      <c r="F67" s="894"/>
      <c r="G67" s="894"/>
    </row>
    <row r="68" spans="1:7" ht="12" customHeight="1" x14ac:dyDescent="0.2">
      <c r="A68" s="428"/>
      <c r="B68" s="428"/>
      <c r="C68" s="442"/>
      <c r="D68" s="443"/>
      <c r="E68" s="894"/>
      <c r="F68" s="894"/>
      <c r="G68" s="894"/>
    </row>
    <row r="69" spans="1:7" s="922" customFormat="1" ht="20.100000000000001" customHeight="1" x14ac:dyDescent="0.2">
      <c r="A69" s="1369" t="s">
        <v>456</v>
      </c>
      <c r="B69" s="1369"/>
      <c r="C69" s="1369"/>
      <c r="D69" s="1369"/>
      <c r="E69" s="1369"/>
      <c r="F69" s="1369"/>
      <c r="G69" s="1369"/>
    </row>
    <row r="70" spans="1:7" s="922" customFormat="1" ht="20.100000000000001" customHeight="1" x14ac:dyDescent="0.2">
      <c r="A70" s="1369"/>
      <c r="B70" s="1369"/>
      <c r="C70" s="1369"/>
      <c r="D70" s="1369"/>
      <c r="E70" s="1369"/>
      <c r="F70" s="1369"/>
      <c r="G70" s="1369"/>
    </row>
    <row r="71" spans="1:7" s="922" customFormat="1" ht="20.100000000000001" customHeight="1" x14ac:dyDescent="0.2">
      <c r="A71" s="1369"/>
      <c r="B71" s="1369"/>
      <c r="C71" s="1369"/>
      <c r="D71" s="1369"/>
      <c r="E71" s="1369"/>
      <c r="F71" s="1369"/>
      <c r="G71" s="1369"/>
    </row>
    <row r="72" spans="1:7" ht="12" customHeight="1" x14ac:dyDescent="0.2">
      <c r="A72" s="1368"/>
      <c r="B72" s="1368"/>
      <c r="C72" s="1368"/>
      <c r="D72" s="1368"/>
      <c r="E72" s="1368"/>
      <c r="F72" s="1368"/>
      <c r="G72" s="1368"/>
    </row>
    <row r="73" spans="1:7" ht="120" customHeight="1" x14ac:dyDescent="0.2">
      <c r="A73" s="1378"/>
      <c r="B73" s="1378"/>
      <c r="C73" s="1378"/>
      <c r="D73" s="1378"/>
      <c r="E73" s="1378"/>
      <c r="F73" s="1378"/>
      <c r="G73" s="1378"/>
    </row>
    <row r="74" spans="1:7" ht="23.1" customHeight="1" x14ac:dyDescent="0.2">
      <c r="A74" s="908"/>
      <c r="B74" s="908"/>
      <c r="C74" s="908"/>
      <c r="D74" s="908"/>
      <c r="E74" s="908"/>
      <c r="F74" s="908"/>
      <c r="G74" s="908"/>
    </row>
    <row r="75" spans="1:7" ht="23.1" customHeight="1" x14ac:dyDescent="0.2">
      <c r="A75" s="444"/>
      <c r="B75" s="444"/>
      <c r="C75" s="444"/>
      <c r="D75" s="444"/>
      <c r="E75" s="1370" t="s">
        <v>483</v>
      </c>
      <c r="F75" s="1370"/>
      <c r="G75" s="417" t="e">
        <f>G3</f>
        <v>#N/A</v>
      </c>
    </row>
    <row r="76" spans="1:7" ht="23.1" customHeight="1" x14ac:dyDescent="0.2">
      <c r="A76" s="1371" t="s">
        <v>75</v>
      </c>
      <c r="B76" s="1371"/>
      <c r="C76" s="1371"/>
      <c r="F76" s="428"/>
      <c r="G76" s="428"/>
    </row>
    <row r="77" spans="1:7" ht="12" customHeight="1" thickBot="1" x14ac:dyDescent="0.25">
      <c r="F77" s="428"/>
    </row>
    <row r="78" spans="1:7" ht="15" customHeight="1" thickBot="1" x14ac:dyDescent="0.25">
      <c r="A78" s="1364" t="s">
        <v>258</v>
      </c>
      <c r="B78" s="1372"/>
      <c r="C78" s="1372"/>
      <c r="D78" s="1372"/>
      <c r="E78" s="1365"/>
      <c r="F78" s="428"/>
      <c r="G78" s="428"/>
    </row>
    <row r="79" spans="1:7" ht="20.100000000000001" customHeight="1" thickBot="1" x14ac:dyDescent="0.25">
      <c r="A79" s="1362" t="str">
        <f>'RT03-F12 @'!A43</f>
        <v>Cargas (g)</v>
      </c>
      <c r="B79" s="1363"/>
      <c r="C79" s="432">
        <f>'RT03-F12 @'!A44</f>
        <v>0</v>
      </c>
      <c r="D79" s="432">
        <f>'RT03-F12 @'!A45</f>
        <v>0</v>
      </c>
      <c r="E79" s="803">
        <f>'RT03-F12 @'!A46</f>
        <v>0</v>
      </c>
      <c r="F79" s="428"/>
      <c r="G79" s="428"/>
    </row>
    <row r="80" spans="1:7" ht="30" customHeight="1" thickBot="1" x14ac:dyDescent="0.25">
      <c r="A80" s="1364" t="s">
        <v>261</v>
      </c>
      <c r="B80" s="1365"/>
      <c r="C80" s="804" t="s">
        <v>74</v>
      </c>
      <c r="D80" s="804" t="s">
        <v>74</v>
      </c>
      <c r="E80" s="804" t="s">
        <v>74</v>
      </c>
      <c r="F80" s="428"/>
      <c r="G80" s="428"/>
    </row>
    <row r="81" spans="1:7" ht="20.100000000000001" customHeight="1" x14ac:dyDescent="0.2">
      <c r="A81" s="1366">
        <f>'RT03-F12 @'!B43</f>
        <v>1</v>
      </c>
      <c r="B81" s="1367"/>
      <c r="C81" s="805">
        <f>'RT03-F12 @'!B44</f>
        <v>0</v>
      </c>
      <c r="D81" s="805">
        <f>'RT03-F12 @'!B45</f>
        <v>0</v>
      </c>
      <c r="E81" s="806">
        <f>'RT03-F12 @'!B46</f>
        <v>0</v>
      </c>
      <c r="F81" s="428"/>
      <c r="G81" s="428"/>
    </row>
    <row r="82" spans="1:7" ht="20.100000000000001" customHeight="1" x14ac:dyDescent="0.2">
      <c r="A82" s="1344">
        <f>'RT03-F12 @'!C43</f>
        <v>2</v>
      </c>
      <c r="B82" s="1345"/>
      <c r="C82" s="778">
        <f>'RT03-F12 @'!C44</f>
        <v>0</v>
      </c>
      <c r="D82" s="778">
        <f>'RT03-F12 @'!C45</f>
        <v>0</v>
      </c>
      <c r="E82" s="807">
        <f>'RT03-F12 @'!C46</f>
        <v>0</v>
      </c>
      <c r="F82" s="428"/>
      <c r="G82" s="428"/>
    </row>
    <row r="83" spans="1:7" ht="20.100000000000001" customHeight="1" x14ac:dyDescent="0.2">
      <c r="A83" s="1344">
        <f>'RT03-F12 @'!D43</f>
        <v>3</v>
      </c>
      <c r="B83" s="1345"/>
      <c r="C83" s="778">
        <f>'RT03-F12 @'!D44</f>
        <v>0</v>
      </c>
      <c r="D83" s="778">
        <f>'RT03-F12 @'!D45</f>
        <v>0</v>
      </c>
      <c r="E83" s="807">
        <f>'RT03-F12 @'!D46</f>
        <v>0</v>
      </c>
      <c r="F83" s="428"/>
      <c r="G83" s="428"/>
    </row>
    <row r="84" spans="1:7" ht="20.100000000000001" customHeight="1" x14ac:dyDescent="0.2">
      <c r="A84" s="1344">
        <f>'RT03-F12 @'!E43</f>
        <v>4</v>
      </c>
      <c r="B84" s="1345"/>
      <c r="C84" s="778">
        <f>'RT03-F12 @'!E44</f>
        <v>0</v>
      </c>
      <c r="D84" s="778">
        <f>'RT03-F12 @'!E45</f>
        <v>0</v>
      </c>
      <c r="E84" s="807">
        <f>'RT03-F12 @'!E46</f>
        <v>0</v>
      </c>
      <c r="F84" s="428"/>
      <c r="G84" s="428"/>
    </row>
    <row r="85" spans="1:7" ht="20.100000000000001" customHeight="1" x14ac:dyDescent="0.2">
      <c r="A85" s="1344">
        <f>'RT03-F12 @'!F43</f>
        <v>5</v>
      </c>
      <c r="B85" s="1345"/>
      <c r="C85" s="778">
        <f>'RT03-F12 @'!F44</f>
        <v>0</v>
      </c>
      <c r="D85" s="778">
        <f>'RT03-F12 @'!F45</f>
        <v>0</v>
      </c>
      <c r="E85" s="807">
        <f>'RT03-F12 @'!F46</f>
        <v>0</v>
      </c>
      <c r="F85" s="428"/>
      <c r="G85" s="428"/>
    </row>
    <row r="86" spans="1:7" ht="20.100000000000001" customHeight="1" x14ac:dyDescent="0.2">
      <c r="A86" s="1344">
        <f>'RT03-F12 @'!G43</f>
        <v>6</v>
      </c>
      <c r="B86" s="1345"/>
      <c r="C86" s="778">
        <f>'RT03-F12 @'!G44</f>
        <v>0</v>
      </c>
      <c r="D86" s="778">
        <f>'RT03-F12 @'!G45</f>
        <v>0</v>
      </c>
      <c r="E86" s="807">
        <f>'RT03-F12 @'!G46</f>
        <v>0</v>
      </c>
      <c r="F86" s="428"/>
      <c r="G86" s="428"/>
    </row>
    <row r="87" spans="1:7" ht="20.100000000000001" customHeight="1" x14ac:dyDescent="0.2">
      <c r="A87" s="1344">
        <f>'RT03-F12 @'!H43</f>
        <v>7</v>
      </c>
      <c r="B87" s="1345"/>
      <c r="C87" s="778">
        <f>'RT03-F12 @'!H44</f>
        <v>0</v>
      </c>
      <c r="D87" s="778">
        <f>'RT03-F12 @'!H45</f>
        <v>0</v>
      </c>
      <c r="E87" s="807">
        <f>'RT03-F12 @'!H46</f>
        <v>0</v>
      </c>
      <c r="F87" s="428"/>
      <c r="G87" s="428"/>
    </row>
    <row r="88" spans="1:7" ht="20.100000000000001" customHeight="1" x14ac:dyDescent="0.2">
      <c r="A88" s="1344">
        <f>'RT03-F12 @'!I43</f>
        <v>8</v>
      </c>
      <c r="B88" s="1345"/>
      <c r="C88" s="778">
        <f>'RT03-F12 @'!I44</f>
        <v>0</v>
      </c>
      <c r="D88" s="778">
        <f>'RT03-F12 @'!I45</f>
        <v>0</v>
      </c>
      <c r="E88" s="807">
        <f>'RT03-F12 @'!I46</f>
        <v>0</v>
      </c>
      <c r="F88" s="428"/>
      <c r="G88" s="428"/>
    </row>
    <row r="89" spans="1:7" ht="20.100000000000001" customHeight="1" x14ac:dyDescent="0.2">
      <c r="A89" s="1344">
        <f>'RT03-F12 @'!J43</f>
        <v>9</v>
      </c>
      <c r="B89" s="1345"/>
      <c r="C89" s="778">
        <f>'RT03-F12 @'!J44</f>
        <v>0</v>
      </c>
      <c r="D89" s="778">
        <f>'RT03-F12 @'!J45</f>
        <v>0</v>
      </c>
      <c r="E89" s="807">
        <f>'RT03-F12 @'!J46</f>
        <v>0</v>
      </c>
      <c r="F89" s="428"/>
      <c r="G89" s="428"/>
    </row>
    <row r="90" spans="1:7" ht="20.100000000000001" customHeight="1" thickBot="1" x14ac:dyDescent="0.25">
      <c r="A90" s="1346">
        <f>'RT03-F12 @'!K43</f>
        <v>10</v>
      </c>
      <c r="B90" s="1347"/>
      <c r="C90" s="781">
        <f>'RT03-F12 @'!K44</f>
        <v>0</v>
      </c>
      <c r="D90" s="781">
        <f>'RT03-F12 @'!K45</f>
        <v>0</v>
      </c>
      <c r="E90" s="808">
        <f>'RT03-F12 @'!K46</f>
        <v>0</v>
      </c>
      <c r="F90" s="894"/>
      <c r="G90" s="894"/>
    </row>
    <row r="91" spans="1:7" ht="12" customHeight="1" x14ac:dyDescent="0.2">
      <c r="A91" s="891"/>
      <c r="B91" s="891"/>
      <c r="C91" s="891"/>
      <c r="D91" s="891"/>
      <c r="E91" s="894"/>
      <c r="F91" s="894"/>
      <c r="G91" s="894"/>
    </row>
    <row r="92" spans="1:7" s="922" customFormat="1" ht="48" customHeight="1" x14ac:dyDescent="0.2">
      <c r="A92" s="1351" t="s">
        <v>255</v>
      </c>
      <c r="B92" s="1351"/>
      <c r="C92" s="1351"/>
      <c r="D92" s="1351"/>
      <c r="E92" s="1351"/>
      <c r="F92" s="1351"/>
      <c r="G92" s="1351"/>
    </row>
    <row r="93" spans="1:7" ht="12" customHeight="1" x14ac:dyDescent="0.2">
      <c r="F93" s="894"/>
      <c r="G93" s="894"/>
    </row>
    <row r="94" spans="1:7" ht="23.1" customHeight="1" x14ac:dyDescent="0.2">
      <c r="A94" s="1371" t="s">
        <v>259</v>
      </c>
      <c r="B94" s="1371"/>
      <c r="C94" s="1371"/>
      <c r="D94" s="1371"/>
      <c r="E94" s="1371"/>
      <c r="F94" s="891"/>
      <c r="G94" s="891"/>
    </row>
    <row r="95" spans="1:7" ht="12" customHeight="1" thickBot="1" x14ac:dyDescent="0.25">
      <c r="E95" s="67"/>
    </row>
    <row r="96" spans="1:7" ht="23.25" customHeight="1" thickBot="1" x14ac:dyDescent="0.25">
      <c r="A96" s="1421" t="s">
        <v>254</v>
      </c>
      <c r="B96" s="1422"/>
      <c r="C96" s="1422"/>
      <c r="D96" s="1423"/>
      <c r="E96" s="926" t="s">
        <v>398</v>
      </c>
      <c r="F96" s="926" t="s">
        <v>416</v>
      </c>
      <c r="G96" s="926" t="s">
        <v>417</v>
      </c>
    </row>
    <row r="97" spans="1:7" ht="30" customHeight="1" thickBot="1" x14ac:dyDescent="0.25">
      <c r="A97" s="1348" t="s">
        <v>398</v>
      </c>
      <c r="B97" s="1348"/>
      <c r="C97" s="860" t="s">
        <v>277</v>
      </c>
      <c r="D97" s="899" t="s">
        <v>485</v>
      </c>
      <c r="E97" s="926">
        <v>5</v>
      </c>
      <c r="F97" s="926">
        <v>1</v>
      </c>
      <c r="G97" s="926">
        <v>-1</v>
      </c>
    </row>
    <row r="98" spans="1:7" ht="20.100000000000001" customHeight="1" x14ac:dyDescent="0.2">
      <c r="A98" s="1349" t="e">
        <f>'RT03-F12 @'!K93</f>
        <v>#N/A</v>
      </c>
      <c r="B98" s="1479"/>
      <c r="C98" s="861">
        <f>'RT03-F12 @'!C55</f>
        <v>0</v>
      </c>
      <c r="D98" s="777" t="e">
        <f>'RT03-F12 @'!D55</f>
        <v>#N/A</v>
      </c>
      <c r="E98" s="927">
        <v>1000</v>
      </c>
      <c r="F98" s="926">
        <v>1</v>
      </c>
      <c r="G98" s="926">
        <v>-1</v>
      </c>
    </row>
    <row r="99" spans="1:7" ht="20.100000000000001" customHeight="1" x14ac:dyDescent="0.2">
      <c r="A99" s="1358" t="e">
        <f>'RT03-F12 @'!K94</f>
        <v>#N/A</v>
      </c>
      <c r="B99" s="1480"/>
      <c r="C99" s="862">
        <f>'RT03-F12 @'!C56</f>
        <v>0</v>
      </c>
      <c r="D99" s="779" t="e">
        <f>'RT03-F12 @'!D56</f>
        <v>#N/A</v>
      </c>
      <c r="E99" s="927">
        <v>2000</v>
      </c>
      <c r="F99" s="926">
        <v>1</v>
      </c>
      <c r="G99" s="926">
        <v>-1</v>
      </c>
    </row>
    <row r="100" spans="1:7" ht="20.100000000000001" customHeight="1" x14ac:dyDescent="0.2">
      <c r="A100" s="1358" t="e">
        <f>'RT03-F12 @'!K95</f>
        <v>#N/A</v>
      </c>
      <c r="B100" s="1480"/>
      <c r="C100" s="862">
        <f>'RT03-F12 @'!C57</f>
        <v>0</v>
      </c>
      <c r="D100" s="779" t="e">
        <f>'RT03-F12 @'!D57</f>
        <v>#N/A</v>
      </c>
      <c r="E100" s="927">
        <v>5000</v>
      </c>
      <c r="F100" s="926">
        <v>1</v>
      </c>
      <c r="G100" s="926">
        <v>-1</v>
      </c>
    </row>
    <row r="101" spans="1:7" ht="20.100000000000001" customHeight="1" x14ac:dyDescent="0.2">
      <c r="A101" s="1358" t="e">
        <f>'RT03-F12 @'!K96</f>
        <v>#N/A</v>
      </c>
      <c r="B101" s="1480"/>
      <c r="C101" s="862">
        <f>'RT03-F12 @'!C58</f>
        <v>0</v>
      </c>
      <c r="D101" s="780" t="e">
        <f>'RT03-F12 @'!D58</f>
        <v>#N/A</v>
      </c>
      <c r="E101" s="927">
        <v>5000</v>
      </c>
      <c r="F101" s="926">
        <v>2</v>
      </c>
      <c r="G101" s="926">
        <v>-2</v>
      </c>
    </row>
    <row r="102" spans="1:7" ht="20.100000000000001" customHeight="1" thickBot="1" x14ac:dyDescent="0.25">
      <c r="A102" s="1431" t="e">
        <f>'RT03-F12 @'!K97</f>
        <v>#N/A</v>
      </c>
      <c r="B102" s="1476"/>
      <c r="C102" s="863">
        <f>'RT03-F12 @'!C59</f>
        <v>0</v>
      </c>
      <c r="D102" s="782" t="e">
        <f>'RT03-F12 @'!D59</f>
        <v>#N/A</v>
      </c>
      <c r="E102" s="927">
        <v>8200</v>
      </c>
      <c r="F102" s="926">
        <v>2</v>
      </c>
      <c r="G102" s="926">
        <v>-2</v>
      </c>
    </row>
    <row r="103" spans="1:7" ht="15.95" customHeight="1" thickBot="1" x14ac:dyDescent="0.25">
      <c r="A103" s="445"/>
      <c r="B103" s="445"/>
      <c r="C103" s="445"/>
      <c r="D103" s="445"/>
      <c r="E103" s="891"/>
      <c r="F103" s="891"/>
      <c r="G103" s="445"/>
    </row>
    <row r="104" spans="1:7" ht="18.75" customHeight="1" thickBot="1" x14ac:dyDescent="0.25">
      <c r="A104" s="1424" t="s">
        <v>256</v>
      </c>
      <c r="B104" s="1425"/>
      <c r="C104" s="1426"/>
      <c r="D104" s="1427"/>
      <c r="E104" s="783" t="s">
        <v>357</v>
      </c>
      <c r="F104" s="891"/>
      <c r="G104" s="445"/>
    </row>
    <row r="105" spans="1:7" ht="30" customHeight="1" thickBot="1" x14ac:dyDescent="0.25">
      <c r="A105" s="1348" t="s">
        <v>398</v>
      </c>
      <c r="B105" s="1348"/>
      <c r="C105" s="864" t="s">
        <v>215</v>
      </c>
      <c r="D105" s="784" t="s">
        <v>297</v>
      </c>
      <c r="E105" s="784" t="s">
        <v>358</v>
      </c>
      <c r="F105" s="891"/>
      <c r="G105" s="445"/>
    </row>
    <row r="106" spans="1:7" ht="20.100000000000001" customHeight="1" x14ac:dyDescent="0.2">
      <c r="A106" s="1477" t="e">
        <f>'RT03-F12 @'!K93</f>
        <v>#N/A</v>
      </c>
      <c r="B106" s="1478"/>
      <c r="C106" s="785" t="e">
        <f>'RT03-F12 @'!M93</f>
        <v>#DIV/0!</v>
      </c>
      <c r="D106" s="786" t="e">
        <f>IF('RT03-F12 @'!O93&lt;=('RT03-F12 @'!Q93),"0,0781",'RT03-F12 @'!O93)</f>
        <v>#N/A</v>
      </c>
      <c r="E106" s="787" t="e">
        <f>IF(ABS(C106)+D106&gt;=(($D$113)),"NO","SI")</f>
        <v>#DIV/0!</v>
      </c>
      <c r="F106" s="891"/>
      <c r="G106" s="445"/>
    </row>
    <row r="107" spans="1:7" ht="20.100000000000001" customHeight="1" x14ac:dyDescent="0.2">
      <c r="A107" s="1354" t="e">
        <f>'RT03-F12 @'!K94</f>
        <v>#N/A</v>
      </c>
      <c r="B107" s="1474"/>
      <c r="C107" s="788" t="e">
        <f>'RT03-F12 @'!M94</f>
        <v>#DIV/0!</v>
      </c>
      <c r="D107" s="789" t="e">
        <f>IF('RT03-F12 @'!O94&lt;=('RT03-F12 @'!Q94),"0,0836",'RT03-F12 @'!O94)</f>
        <v>#N/A</v>
      </c>
      <c r="E107" s="790" t="e">
        <f t="shared" ref="E107:E109" si="0">IF(ABS(C107)+D107&gt;=(($D$113)),"NO","SI")</f>
        <v>#DIV/0!</v>
      </c>
      <c r="F107" s="891"/>
      <c r="G107" s="445"/>
    </row>
    <row r="108" spans="1:7" ht="20.100000000000001" customHeight="1" x14ac:dyDescent="0.2">
      <c r="A108" s="1354" t="e">
        <f>'RT03-F12 @'!K95</f>
        <v>#N/A</v>
      </c>
      <c r="B108" s="1474"/>
      <c r="C108" s="788" t="e">
        <f>'RT03-F12 @'!M95</f>
        <v>#DIV/0!</v>
      </c>
      <c r="D108" s="789" t="e">
        <f>IF('RT03-F12 @'!O95&lt;=('RT03-F12 @'!Q95),"0,0892",'RT03-F12 @'!O95)</f>
        <v>#N/A</v>
      </c>
      <c r="E108" s="790" t="e">
        <f t="shared" si="0"/>
        <v>#DIV/0!</v>
      </c>
      <c r="F108" s="891"/>
      <c r="G108" s="445"/>
    </row>
    <row r="109" spans="1:7" ht="20.100000000000001" customHeight="1" x14ac:dyDescent="0.2">
      <c r="A109" s="1354" t="e">
        <f>'RT03-F12 @'!K96</f>
        <v>#N/A</v>
      </c>
      <c r="B109" s="1474"/>
      <c r="C109" s="791" t="e">
        <f>'RT03-F12 @'!M96</f>
        <v>#DIV/0!</v>
      </c>
      <c r="D109" s="792" t="e">
        <f>IF('RT03-F12 @'!O96&lt;=('RT03-F12 @'!Q96),"0,106",'RT03-F12 @'!O96)</f>
        <v>#N/A</v>
      </c>
      <c r="E109" s="790" t="e">
        <f t="shared" si="0"/>
        <v>#DIV/0!</v>
      </c>
      <c r="F109" s="891"/>
      <c r="G109" s="445"/>
    </row>
    <row r="110" spans="1:7" ht="20.100000000000001" customHeight="1" thickBot="1" x14ac:dyDescent="0.25">
      <c r="A110" s="1356" t="e">
        <f>'RT03-F12 @'!K97</f>
        <v>#N/A</v>
      </c>
      <c r="B110" s="1475"/>
      <c r="C110" s="793" t="e">
        <f>'RT03-F12 @'!M97</f>
        <v>#DIV/0!</v>
      </c>
      <c r="D110" s="794" t="e">
        <f>IF('RT03-F12 @'!O97&lt;=('RT03-F12 @'!Q97),"0,123",'RT03-F12 @'!O97)</f>
        <v>#N/A</v>
      </c>
      <c r="E110" s="795" t="e">
        <f>IF(ABS(C110)+D110&gt;=(($D$114)),"NO","SI")</f>
        <v>#DIV/0!</v>
      </c>
      <c r="F110" s="891"/>
      <c r="G110" s="445"/>
    </row>
    <row r="111" spans="1:7" ht="15.95" customHeight="1" thickBot="1" x14ac:dyDescent="0.25">
      <c r="A111" s="895"/>
      <c r="B111" s="895"/>
      <c r="C111" s="443"/>
      <c r="D111" s="443"/>
      <c r="E111" s="428"/>
      <c r="F111" s="446"/>
      <c r="G111" s="428"/>
    </row>
    <row r="112" spans="1:7" ht="20.100000000000001" customHeight="1" thickBot="1" x14ac:dyDescent="0.25">
      <c r="A112" s="1335" t="s">
        <v>353</v>
      </c>
      <c r="B112" s="1336"/>
      <c r="C112" s="797" t="s">
        <v>354</v>
      </c>
      <c r="D112" s="798" t="s">
        <v>475</v>
      </c>
      <c r="E112" s="428"/>
      <c r="F112" s="446"/>
      <c r="G112" s="428"/>
    </row>
    <row r="113" spans="1:7" ht="20.100000000000001" customHeight="1" x14ac:dyDescent="0.2">
      <c r="A113" s="1337" t="s">
        <v>355</v>
      </c>
      <c r="B113" s="1338"/>
      <c r="C113" s="799" t="s">
        <v>476</v>
      </c>
      <c r="D113" s="800">
        <v>1</v>
      </c>
      <c r="E113" s="428"/>
      <c r="F113" s="446"/>
      <c r="G113" s="428"/>
    </row>
    <row r="114" spans="1:7" ht="20.100000000000001" customHeight="1" thickBot="1" x14ac:dyDescent="0.25">
      <c r="A114" s="1339" t="s">
        <v>363</v>
      </c>
      <c r="B114" s="1340"/>
      <c r="C114" s="801" t="s">
        <v>477</v>
      </c>
      <c r="D114" s="802">
        <v>2</v>
      </c>
      <c r="E114" s="428"/>
      <c r="F114" s="446"/>
      <c r="G114" s="428"/>
    </row>
    <row r="115" spans="1:7" ht="15.95" customHeight="1" x14ac:dyDescent="0.2">
      <c r="A115" s="428"/>
      <c r="B115" s="428"/>
      <c r="C115" s="428"/>
      <c r="D115" s="428"/>
      <c r="E115" s="428"/>
      <c r="F115" s="446"/>
      <c r="G115" s="428"/>
    </row>
    <row r="116" spans="1:7" ht="22.5" customHeight="1" x14ac:dyDescent="0.2">
      <c r="A116" s="428"/>
      <c r="B116" s="428"/>
      <c r="C116" s="428"/>
      <c r="D116" s="428"/>
      <c r="E116" s="428"/>
      <c r="F116" s="446"/>
      <c r="G116" s="428"/>
    </row>
    <row r="117" spans="1:7" ht="18" customHeight="1" x14ac:dyDescent="0.2">
      <c r="A117" s="895"/>
      <c r="B117" s="895"/>
      <c r="C117" s="443"/>
      <c r="D117" s="443"/>
    </row>
    <row r="118" spans="1:7" ht="120" customHeight="1" x14ac:dyDescent="0.2">
      <c r="A118" s="1428"/>
      <c r="B118" s="1428"/>
      <c r="C118" s="1428"/>
      <c r="D118" s="1428"/>
      <c r="E118" s="1428"/>
      <c r="F118" s="1428"/>
      <c r="G118" s="1428"/>
    </row>
    <row r="119" spans="1:7" ht="23.1" customHeight="1" x14ac:dyDescent="0.2">
      <c r="A119" s="895"/>
      <c r="B119" s="895"/>
      <c r="C119" s="895"/>
      <c r="D119" s="895"/>
      <c r="E119" s="895"/>
      <c r="F119" s="895"/>
      <c r="G119" s="895"/>
    </row>
    <row r="120" spans="1:7" ht="23.1" customHeight="1" x14ac:dyDescent="0.2">
      <c r="A120" s="895"/>
      <c r="B120" s="895"/>
      <c r="C120" s="443"/>
      <c r="D120" s="443"/>
      <c r="E120" s="1370" t="s">
        <v>483</v>
      </c>
      <c r="F120" s="1370"/>
      <c r="G120" s="417" t="e">
        <f>G3</f>
        <v>#N/A</v>
      </c>
    </row>
    <row r="121" spans="1:7" ht="18" customHeight="1" x14ac:dyDescent="0.2">
      <c r="A121" s="895"/>
      <c r="B121" s="895"/>
      <c r="C121" s="443"/>
      <c r="D121" s="443"/>
      <c r="E121" s="893"/>
      <c r="F121" s="893"/>
      <c r="G121" s="447"/>
    </row>
    <row r="122" spans="1:7" ht="20.100000000000001" customHeight="1" x14ac:dyDescent="0.2">
      <c r="A122" s="61"/>
      <c r="B122" s="61"/>
      <c r="C122" s="443"/>
      <c r="D122" s="443"/>
      <c r="E122" s="428"/>
      <c r="F122" s="446"/>
      <c r="G122" s="428"/>
    </row>
    <row r="123" spans="1:7" ht="15" customHeight="1" x14ac:dyDescent="0.2">
      <c r="A123" s="445"/>
      <c r="B123" s="445"/>
      <c r="C123" s="443"/>
      <c r="D123" s="443"/>
      <c r="E123" s="891"/>
      <c r="F123" s="891"/>
      <c r="G123" s="891"/>
    </row>
    <row r="124" spans="1:7" ht="15" customHeight="1" x14ac:dyDescent="0.2">
      <c r="A124" s="428"/>
      <c r="B124" s="428"/>
      <c r="C124" s="448"/>
      <c r="D124" s="428"/>
      <c r="E124" s="428"/>
      <c r="F124" s="428"/>
      <c r="G124" s="428"/>
    </row>
    <row r="125" spans="1:7" ht="15" customHeight="1" x14ac:dyDescent="0.2">
      <c r="A125" s="428"/>
      <c r="B125" s="428"/>
      <c r="C125" s="428"/>
      <c r="D125" s="428"/>
      <c r="E125" s="428"/>
      <c r="F125" s="428"/>
      <c r="G125" s="428"/>
    </row>
    <row r="126" spans="1:7" ht="15" customHeight="1" x14ac:dyDescent="0.2">
      <c r="A126" s="428"/>
      <c r="B126" s="428"/>
      <c r="C126" s="428"/>
      <c r="D126" s="428"/>
      <c r="E126" s="428"/>
      <c r="F126" s="428"/>
      <c r="G126" s="428"/>
    </row>
    <row r="127" spans="1:7" ht="15" customHeight="1" x14ac:dyDescent="0.2">
      <c r="A127" s="428"/>
      <c r="B127" s="428"/>
      <c r="C127" s="428"/>
      <c r="D127" s="428"/>
      <c r="E127" s="428"/>
      <c r="F127" s="428"/>
      <c r="G127" s="428"/>
    </row>
    <row r="128" spans="1:7" ht="15" customHeight="1" x14ac:dyDescent="0.2">
      <c r="A128" s="428"/>
      <c r="B128" s="428"/>
      <c r="C128" s="428"/>
      <c r="D128" s="428"/>
      <c r="E128" s="428"/>
      <c r="F128" s="428"/>
      <c r="G128" s="428"/>
    </row>
    <row r="129" spans="1:7" ht="15" customHeight="1" x14ac:dyDescent="0.2">
      <c r="A129" s="428"/>
      <c r="B129" s="428"/>
      <c r="C129" s="428"/>
      <c r="D129" s="428"/>
      <c r="E129" s="428"/>
      <c r="F129" s="428"/>
      <c r="G129" s="428"/>
    </row>
    <row r="130" spans="1:7" ht="15" customHeight="1" x14ac:dyDescent="0.2">
      <c r="A130" s="428"/>
      <c r="B130" s="428"/>
      <c r="C130" s="428"/>
      <c r="D130" s="428"/>
      <c r="E130" s="428"/>
      <c r="F130" s="428"/>
      <c r="G130" s="428"/>
    </row>
    <row r="131" spans="1:7" ht="15" customHeight="1" x14ac:dyDescent="0.2">
      <c r="A131" s="428"/>
      <c r="B131" s="428"/>
      <c r="C131" s="428"/>
      <c r="D131" s="428"/>
      <c r="E131" s="428"/>
      <c r="F131" s="428"/>
      <c r="G131" s="428"/>
    </row>
    <row r="132" spans="1:7" ht="15" customHeight="1" x14ac:dyDescent="0.2">
      <c r="A132" s="428"/>
      <c r="B132" s="428"/>
      <c r="C132" s="428"/>
      <c r="D132" s="428"/>
      <c r="E132" s="428"/>
      <c r="F132" s="428"/>
      <c r="G132" s="428"/>
    </row>
    <row r="133" spans="1:7" ht="15" customHeight="1" x14ac:dyDescent="0.2">
      <c r="A133" s="428"/>
      <c r="B133" s="428"/>
      <c r="C133" s="428"/>
      <c r="D133" s="428"/>
      <c r="E133" s="428"/>
      <c r="F133" s="428"/>
      <c r="G133" s="428"/>
    </row>
    <row r="134" spans="1:7" ht="15" customHeight="1" x14ac:dyDescent="0.2">
      <c r="A134" s="428"/>
      <c r="B134" s="428"/>
      <c r="C134" s="428"/>
      <c r="D134" s="428"/>
      <c r="E134" s="428"/>
      <c r="F134" s="428"/>
      <c r="G134" s="428"/>
    </row>
    <row r="135" spans="1:7" ht="15" customHeight="1" x14ac:dyDescent="0.2">
      <c r="A135" s="428"/>
      <c r="B135" s="428"/>
      <c r="C135" s="428"/>
      <c r="D135" s="428"/>
      <c r="E135" s="428"/>
      <c r="F135" s="428"/>
      <c r="G135" s="428"/>
    </row>
    <row r="136" spans="1:7" ht="15" customHeight="1" x14ac:dyDescent="0.2">
      <c r="E136" s="891"/>
      <c r="F136" s="891"/>
      <c r="G136" s="891"/>
    </row>
    <row r="137" spans="1:7" ht="15" customHeight="1" x14ac:dyDescent="0.2">
      <c r="A137" s="891"/>
      <c r="B137" s="891"/>
      <c r="C137" s="891"/>
      <c r="D137" s="891"/>
      <c r="E137" s="891"/>
      <c r="F137" s="891"/>
      <c r="G137" s="891"/>
    </row>
    <row r="138" spans="1:7" ht="15" customHeight="1" x14ac:dyDescent="0.2">
      <c r="A138" s="891"/>
      <c r="B138" s="891"/>
      <c r="C138" s="891"/>
      <c r="D138" s="891"/>
      <c r="E138" s="891"/>
      <c r="F138" s="891"/>
      <c r="G138" s="891"/>
    </row>
    <row r="139" spans="1:7" ht="15" customHeight="1" x14ac:dyDescent="0.2">
      <c r="A139" s="891"/>
      <c r="B139" s="891"/>
      <c r="C139" s="891"/>
      <c r="D139" s="891"/>
      <c r="E139" s="891"/>
      <c r="F139" s="891"/>
      <c r="G139" s="891"/>
    </row>
    <row r="140" spans="1:7" s="922" customFormat="1" ht="69.95" customHeight="1" x14ac:dyDescent="0.2">
      <c r="A140" s="1430" t="s">
        <v>356</v>
      </c>
      <c r="B140" s="1430"/>
      <c r="C140" s="1430"/>
      <c r="D140" s="1430"/>
      <c r="E140" s="1430"/>
      <c r="F140" s="1430"/>
      <c r="G140" s="1430"/>
    </row>
    <row r="141" spans="1:7" ht="23.1" customHeight="1" x14ac:dyDescent="0.2">
      <c r="A141" s="914"/>
      <c r="B141" s="914"/>
      <c r="C141" s="914"/>
      <c r="D141" s="914"/>
      <c r="E141" s="914"/>
      <c r="F141" s="914"/>
      <c r="G141" s="914"/>
    </row>
    <row r="142" spans="1:7" ht="21" customHeight="1" x14ac:dyDescent="0.2">
      <c r="A142" s="449"/>
      <c r="B142" s="449"/>
      <c r="C142" s="449"/>
      <c r="D142" s="449"/>
      <c r="E142" s="449"/>
      <c r="F142" s="449"/>
      <c r="G142" s="449"/>
    </row>
    <row r="143" spans="1:7" ht="21" customHeight="1" x14ac:dyDescent="0.2">
      <c r="A143" s="449"/>
      <c r="B143" s="449"/>
      <c r="C143" s="449"/>
      <c r="D143" s="449"/>
      <c r="E143" s="449"/>
      <c r="F143" s="449"/>
      <c r="G143" s="449"/>
    </row>
    <row r="144" spans="1:7" ht="20.100000000000001" customHeight="1" x14ac:dyDescent="0.2">
      <c r="A144" s="1371"/>
      <c r="B144" s="1371"/>
      <c r="C144" s="1371"/>
      <c r="D144" s="1371"/>
      <c r="E144" s="891"/>
      <c r="F144" s="891"/>
      <c r="G144" s="891"/>
    </row>
    <row r="145" spans="1:10" ht="20.100000000000001" customHeight="1" x14ac:dyDescent="0.2">
      <c r="A145" s="1381" t="s">
        <v>291</v>
      </c>
      <c r="B145" s="1381"/>
      <c r="C145" s="1381"/>
      <c r="D145" s="1381"/>
      <c r="E145" s="1381"/>
      <c r="F145" s="1381"/>
      <c r="G145" s="891"/>
    </row>
    <row r="146" spans="1:10" ht="12" customHeight="1" x14ac:dyDescent="0.2">
      <c r="A146" s="901"/>
      <c r="B146" s="901"/>
      <c r="C146" s="427"/>
      <c r="D146" s="427"/>
      <c r="E146" s="427"/>
      <c r="F146" s="427"/>
      <c r="G146" s="891"/>
    </row>
    <row r="147" spans="1:10" s="925" customFormat="1" ht="48" customHeight="1" x14ac:dyDescent="0.25">
      <c r="A147" s="1433" t="s">
        <v>421</v>
      </c>
      <c r="B147" s="1433"/>
      <c r="C147" s="1433"/>
      <c r="D147" s="1433"/>
      <c r="E147" s="1433"/>
      <c r="F147" s="1433"/>
      <c r="G147" s="1433"/>
    </row>
    <row r="148" spans="1:10" ht="24.75" customHeight="1" thickBot="1" x14ac:dyDescent="0.25">
      <c r="A148" s="809"/>
      <c r="B148" s="809"/>
      <c r="C148" s="809"/>
      <c r="D148" s="809"/>
      <c r="E148" s="809"/>
      <c r="F148" s="809"/>
      <c r="G148" s="809"/>
    </row>
    <row r="149" spans="1:10" ht="30.75" customHeight="1" thickBot="1" x14ac:dyDescent="0.25">
      <c r="A149" s="1341" t="s">
        <v>478</v>
      </c>
      <c r="B149" s="1342"/>
      <c r="C149" s="1342"/>
      <c r="D149" s="1342"/>
      <c r="E149" s="1342"/>
      <c r="F149" s="1342"/>
      <c r="G149" s="1389"/>
    </row>
    <row r="150" spans="1:10" ht="23.1" customHeight="1" thickBot="1" x14ac:dyDescent="0.25">
      <c r="A150" s="768"/>
      <c r="B150" s="768"/>
      <c r="C150" s="768"/>
      <c r="D150" s="768"/>
      <c r="E150" s="768"/>
      <c r="F150" s="768"/>
      <c r="G150" s="768"/>
      <c r="H150" s="539"/>
    </row>
    <row r="151" spans="1:10" ht="21.75" customHeight="1" thickBot="1" x14ac:dyDescent="0.25">
      <c r="A151" s="810"/>
      <c r="B151" s="810"/>
      <c r="C151" s="811" t="s">
        <v>244</v>
      </c>
      <c r="D151" s="812" t="e">
        <f>'RT03-F12 @'!F141</f>
        <v>#N/A</v>
      </c>
      <c r="E151" s="796" t="s">
        <v>61</v>
      </c>
      <c r="F151" s="813"/>
      <c r="G151" s="814"/>
      <c r="H151" s="539"/>
    </row>
    <row r="152" spans="1:10" ht="23.1" customHeight="1" thickBot="1" x14ac:dyDescent="0.25">
      <c r="A152" s="768"/>
      <c r="B152" s="768"/>
      <c r="C152" s="768"/>
      <c r="D152" s="768"/>
      <c r="E152" s="768"/>
      <c r="F152" s="815"/>
      <c r="G152" s="815"/>
      <c r="H152" s="539"/>
    </row>
    <row r="153" spans="1:10" ht="30.75" customHeight="1" thickBot="1" x14ac:dyDescent="0.25">
      <c r="A153" s="1341" t="s">
        <v>58</v>
      </c>
      <c r="B153" s="1342"/>
      <c r="C153" s="1342"/>
      <c r="D153" s="1342"/>
      <c r="E153" s="1342"/>
      <c r="F153" s="1342"/>
      <c r="G153" s="1389"/>
      <c r="H153" s="539"/>
    </row>
    <row r="154" spans="1:10" ht="23.1" customHeight="1" thickBot="1" x14ac:dyDescent="0.25">
      <c r="A154" s="421"/>
      <c r="B154" s="421"/>
      <c r="C154" s="421"/>
      <c r="D154" s="421"/>
      <c r="E154" s="421"/>
      <c r="F154" s="816"/>
      <c r="G154" s="905"/>
      <c r="H154" s="539"/>
    </row>
    <row r="155" spans="1:10" ht="24.75" customHeight="1" thickBot="1" x14ac:dyDescent="0.25">
      <c r="A155" s="1341" t="s">
        <v>293</v>
      </c>
      <c r="B155" s="1342"/>
      <c r="C155" s="896" t="e">
        <f>IF('RT03-F12 @'!M141&lt;=('DATOS @ '!H157),"0,078",'RT03-F12 @'!M141)</f>
        <v>#DIV/0!</v>
      </c>
      <c r="D155" s="817" t="s">
        <v>260</v>
      </c>
      <c r="E155" s="818" t="e">
        <f>'RT03-F12 @'!O141</f>
        <v>#DIV/0!</v>
      </c>
      <c r="F155" s="896" t="s">
        <v>61</v>
      </c>
      <c r="G155" s="819"/>
      <c r="H155" s="543"/>
      <c r="I155" s="450"/>
      <c r="J155" s="450"/>
    </row>
    <row r="156" spans="1:10" ht="20.100000000000001" customHeight="1" x14ac:dyDescent="0.2">
      <c r="A156" s="768"/>
      <c r="B156" s="768"/>
      <c r="C156" s="768"/>
      <c r="D156" s="768"/>
      <c r="E156" s="768"/>
      <c r="F156" s="768"/>
      <c r="G156" s="768"/>
      <c r="H156" s="539"/>
    </row>
    <row r="157" spans="1:10" ht="18" customHeight="1" x14ac:dyDescent="0.2">
      <c r="A157" s="768"/>
      <c r="B157" s="768"/>
      <c r="C157" s="768"/>
      <c r="D157" s="768"/>
      <c r="E157" s="768"/>
      <c r="F157" s="905"/>
      <c r="G157" s="820"/>
      <c r="H157" s="539"/>
    </row>
    <row r="158" spans="1:10" ht="18" customHeight="1" x14ac:dyDescent="0.2">
      <c r="A158" s="620"/>
      <c r="B158" s="620"/>
      <c r="C158" s="620"/>
      <c r="D158" s="620"/>
      <c r="E158" s="620"/>
      <c r="F158" s="621"/>
      <c r="G158" s="619"/>
      <c r="H158" s="539"/>
    </row>
    <row r="159" spans="1:10" ht="120" customHeight="1" x14ac:dyDescent="0.2">
      <c r="A159" s="1377"/>
      <c r="B159" s="1377"/>
      <c r="C159" s="1377"/>
      <c r="D159" s="1377"/>
      <c r="E159" s="1377"/>
      <c r="F159" s="1377"/>
      <c r="G159" s="1377"/>
    </row>
    <row r="160" spans="1:10" ht="23.1" customHeight="1" x14ac:dyDescent="0.2"/>
    <row r="161" spans="1:8" ht="23.1" customHeight="1" x14ac:dyDescent="0.2">
      <c r="E161" s="1370" t="s">
        <v>484</v>
      </c>
      <c r="F161" s="1370"/>
      <c r="G161" s="417" t="e">
        <f>G3</f>
        <v>#N/A</v>
      </c>
    </row>
    <row r="162" spans="1:8" ht="23.1" customHeight="1" x14ac:dyDescent="0.2">
      <c r="E162" s="893"/>
      <c r="F162" s="893"/>
      <c r="G162" s="447"/>
    </row>
    <row r="163" spans="1:8" ht="23.1" customHeight="1" x14ac:dyDescent="0.2">
      <c r="A163" s="1381" t="s">
        <v>292</v>
      </c>
      <c r="B163" s="1381"/>
      <c r="C163" s="1381"/>
      <c r="D163" s="1381"/>
      <c r="E163" s="540"/>
      <c r="F163" s="451"/>
      <c r="G163" s="451"/>
    </row>
    <row r="164" spans="1:8" ht="23.1" customHeight="1" x14ac:dyDescent="0.2">
      <c r="A164" s="1429"/>
      <c r="B164" s="1429"/>
      <c r="C164" s="1429"/>
      <c r="D164" s="1429"/>
      <c r="E164" s="1429"/>
      <c r="F164" s="1429"/>
      <c r="G164" s="1429"/>
    </row>
    <row r="165" spans="1:8" s="920" customFormat="1" ht="33" customHeight="1" x14ac:dyDescent="0.2">
      <c r="A165" s="856" t="s">
        <v>459</v>
      </c>
      <c r="B165" s="1343" t="s">
        <v>460</v>
      </c>
      <c r="C165" s="1343"/>
      <c r="D165" s="1343"/>
      <c r="E165" s="1343"/>
      <c r="F165" s="1343"/>
      <c r="G165" s="1343"/>
    </row>
    <row r="166" spans="1:8" s="920" customFormat="1" ht="33" customHeight="1" x14ac:dyDescent="0.2">
      <c r="A166" s="857" t="s">
        <v>459</v>
      </c>
      <c r="B166" s="1334" t="s">
        <v>461</v>
      </c>
      <c r="C166" s="1334"/>
      <c r="D166" s="1334"/>
      <c r="E166" s="1334"/>
      <c r="F166" s="1334"/>
      <c r="G166" s="1334"/>
      <c r="H166" s="921"/>
    </row>
    <row r="167" spans="1:8" s="920" customFormat="1" ht="33" customHeight="1" x14ac:dyDescent="0.2">
      <c r="A167" s="857" t="s">
        <v>462</v>
      </c>
      <c r="B167" s="1334" t="s">
        <v>463</v>
      </c>
      <c r="C167" s="1334"/>
      <c r="D167" s="1334"/>
      <c r="E167" s="1334"/>
      <c r="F167" s="1334"/>
      <c r="G167" s="1334"/>
      <c r="H167" s="921"/>
    </row>
    <row r="168" spans="1:8" s="920" customFormat="1" ht="23.1" customHeight="1" x14ac:dyDescent="0.2">
      <c r="A168" s="857" t="s">
        <v>459</v>
      </c>
      <c r="B168" s="1334" t="s">
        <v>464</v>
      </c>
      <c r="C168" s="1334"/>
      <c r="D168" s="1334"/>
      <c r="E168" s="1334"/>
      <c r="F168" s="1334"/>
      <c r="G168" s="1334"/>
    </row>
    <row r="169" spans="1:8" s="920" customFormat="1" ht="23.1" customHeight="1" x14ac:dyDescent="0.2">
      <c r="A169" s="857" t="s">
        <v>459</v>
      </c>
      <c r="B169" s="1334" t="s">
        <v>465</v>
      </c>
      <c r="C169" s="1334"/>
      <c r="D169" s="1334"/>
      <c r="E169" s="1334"/>
      <c r="F169" s="1334"/>
      <c r="G169" s="1334"/>
    </row>
    <row r="170" spans="1:8" s="921" customFormat="1" ht="33" customHeight="1" x14ac:dyDescent="0.2">
      <c r="A170" s="857" t="s">
        <v>459</v>
      </c>
      <c r="B170" s="1334" t="s">
        <v>466</v>
      </c>
      <c r="C170" s="1334"/>
      <c r="D170" s="1334"/>
      <c r="E170" s="1334"/>
      <c r="F170" s="1334"/>
      <c r="G170" s="1334"/>
    </row>
    <row r="171" spans="1:8" s="920" customFormat="1" ht="23.1" customHeight="1" x14ac:dyDescent="0.2">
      <c r="A171" s="856" t="s">
        <v>459</v>
      </c>
      <c r="B171" s="1343" t="s">
        <v>467</v>
      </c>
      <c r="C171" s="1343"/>
      <c r="D171" s="1343"/>
      <c r="E171" s="1343"/>
      <c r="F171" s="1343"/>
      <c r="G171" s="1343"/>
    </row>
    <row r="172" spans="1:8" s="920" customFormat="1" ht="23.1" customHeight="1" x14ac:dyDescent="0.2">
      <c r="A172" s="856" t="s">
        <v>462</v>
      </c>
      <c r="B172" s="1343" t="s">
        <v>471</v>
      </c>
      <c r="C172" s="1343"/>
      <c r="D172" s="1343"/>
      <c r="E172" s="1343"/>
      <c r="F172" s="1343"/>
      <c r="G172" s="1343"/>
    </row>
    <row r="173" spans="1:8" s="920" customFormat="1" ht="23.1" customHeight="1" x14ac:dyDescent="0.2">
      <c r="A173" s="856" t="s">
        <v>459</v>
      </c>
      <c r="B173" s="1343" t="s">
        <v>468</v>
      </c>
      <c r="C173" s="1343"/>
      <c r="D173" s="1343"/>
      <c r="E173" s="1343"/>
      <c r="F173" s="1343"/>
      <c r="G173" s="1343"/>
    </row>
    <row r="174" spans="1:8" s="920" customFormat="1" ht="48" customHeight="1" x14ac:dyDescent="0.2">
      <c r="A174" s="856" t="s">
        <v>459</v>
      </c>
      <c r="B174" s="1343" t="s">
        <v>469</v>
      </c>
      <c r="C174" s="1343"/>
      <c r="D174" s="1343"/>
      <c r="E174" s="1343"/>
      <c r="F174" s="1343"/>
      <c r="G174" s="1343"/>
    </row>
    <row r="175" spans="1:8" s="922" customFormat="1" ht="23.1" customHeight="1" x14ac:dyDescent="0.2">
      <c r="A175" s="858" t="s">
        <v>459</v>
      </c>
      <c r="B175" s="1334" t="s">
        <v>470</v>
      </c>
      <c r="C175" s="1334"/>
      <c r="D175" s="1334"/>
      <c r="E175" s="1334"/>
      <c r="F175" s="1334"/>
      <c r="G175" s="1334"/>
    </row>
    <row r="176" spans="1:8" s="922" customFormat="1" ht="20.25" customHeight="1" x14ac:dyDescent="0.2">
      <c r="A176" s="923" t="s">
        <v>462</v>
      </c>
      <c r="B176" s="1473" t="s">
        <v>488</v>
      </c>
      <c r="C176" s="1473"/>
      <c r="D176" s="1473"/>
      <c r="E176" s="1473"/>
      <c r="F176" s="924" t="e">
        <f>' RT03-F15 @'!G43</f>
        <v>#N/A</v>
      </c>
      <c r="G176" s="900"/>
    </row>
    <row r="177" spans="1:11" ht="20.100000000000001" customHeight="1" x14ac:dyDescent="0.25">
      <c r="A177" s="1420" t="s">
        <v>361</v>
      </c>
      <c r="B177" s="1420"/>
      <c r="C177" s="1420"/>
      <c r="D177" s="452"/>
      <c r="E177" s="452"/>
      <c r="F177" s="453"/>
      <c r="G177" s="453"/>
    </row>
    <row r="178" spans="1:11" ht="20.100000000000001" customHeight="1" x14ac:dyDescent="0.2">
      <c r="A178" s="889"/>
      <c r="B178" s="889"/>
      <c r="C178" s="889"/>
      <c r="D178" s="889"/>
      <c r="E178" s="889"/>
      <c r="F178" s="889"/>
      <c r="G178" s="889"/>
    </row>
    <row r="179" spans="1:11" ht="20.100000000000001" customHeight="1" x14ac:dyDescent="0.2">
      <c r="A179" s="1436"/>
      <c r="B179" s="1436"/>
      <c r="C179" s="1436"/>
      <c r="D179" s="1436"/>
      <c r="E179" s="1436"/>
      <c r="F179" s="1436"/>
      <c r="G179" s="1436"/>
    </row>
    <row r="180" spans="1:11" ht="30" customHeight="1" x14ac:dyDescent="0.2">
      <c r="A180" s="454"/>
      <c r="B180" s="454"/>
      <c r="C180" s="454"/>
      <c r="D180" s="859"/>
      <c r="E180" s="915"/>
      <c r="F180" s="915"/>
      <c r="G180" s="859"/>
    </row>
    <row r="181" spans="1:11" ht="20.100000000000001" customHeight="1" x14ac:dyDescent="0.2">
      <c r="A181" s="1437" t="s">
        <v>76</v>
      </c>
      <c r="B181" s="1437"/>
      <c r="C181" s="1437"/>
      <c r="D181" s="1437"/>
      <c r="E181" s="1437" t="s">
        <v>91</v>
      </c>
      <c r="F181" s="1437"/>
      <c r="G181" s="1437"/>
    </row>
    <row r="182" spans="1:11" ht="23.1" customHeight="1" x14ac:dyDescent="0.2">
      <c r="A182" s="1438" t="s">
        <v>294</v>
      </c>
      <c r="B182" s="1438"/>
      <c r="C182" s="1438"/>
      <c r="D182" s="1438"/>
      <c r="E182" s="1438" t="s">
        <v>295</v>
      </c>
      <c r="F182" s="1438"/>
      <c r="G182" s="1438"/>
    </row>
    <row r="183" spans="1:11" ht="23.1" customHeight="1" x14ac:dyDescent="0.2">
      <c r="A183" s="1438" t="e">
        <f>VLOOKUP($D$180,'DATOS @ '!$A$156:$D$159,4,FALSE)</f>
        <v>#N/A</v>
      </c>
      <c r="B183" s="1438"/>
      <c r="C183" s="1438"/>
      <c r="D183" s="1438"/>
      <c r="E183" s="1438" t="e">
        <f>VLOOKUP($G$180,'DATOS @ '!A156:F159,6,FALSE)</f>
        <v>#N/A</v>
      </c>
      <c r="F183" s="1438"/>
      <c r="G183" s="1438"/>
    </row>
    <row r="184" spans="1:11" ht="23.1" customHeight="1" x14ac:dyDescent="0.2">
      <c r="A184" s="1419" t="e">
        <f>VLOOKUP($D$180,'DATOS @ '!$A$156:$D$159,2,FALSE)</f>
        <v>#N/A</v>
      </c>
      <c r="B184" s="1419"/>
      <c r="C184" s="1419"/>
      <c r="D184" s="1419"/>
      <c r="E184" s="1419" t="e">
        <f>VLOOKUP($G$180,'DATOS @ '!A156:F159,2,FALSE)</f>
        <v>#N/A</v>
      </c>
      <c r="F184" s="1419"/>
      <c r="G184" s="1419"/>
    </row>
    <row r="186" spans="1:11" ht="20.25" customHeight="1" x14ac:dyDescent="0.2"/>
    <row r="187" spans="1:11" ht="23.1" customHeight="1" x14ac:dyDescent="0.2">
      <c r="A187" s="1435" t="s">
        <v>263</v>
      </c>
      <c r="B187" s="1435"/>
      <c r="C187" s="1435"/>
      <c r="D187" s="705" t="s">
        <v>453</v>
      </c>
      <c r="E187" s="1439" t="s">
        <v>472</v>
      </c>
      <c r="F187" s="1439"/>
      <c r="G187" s="418" t="s">
        <v>453</v>
      </c>
    </row>
    <row r="188" spans="1:11" ht="15" customHeight="1" x14ac:dyDescent="0.2">
      <c r="C188" s="67"/>
    </row>
    <row r="189" spans="1:11" ht="23.1" customHeight="1" x14ac:dyDescent="0.25">
      <c r="A189" s="1434" t="s">
        <v>362</v>
      </c>
      <c r="B189" s="1434"/>
      <c r="C189" s="1434"/>
      <c r="D189" s="1434"/>
      <c r="E189" s="1434"/>
      <c r="F189" s="1434"/>
      <c r="G189" s="1434"/>
      <c r="K189" s="898"/>
    </row>
  </sheetData>
  <sheetProtection password="CF5C" sheet="1" objects="1" scenarios="1"/>
  <mergeCells count="135">
    <mergeCell ref="A8:C8"/>
    <mergeCell ref="D8:E8"/>
    <mergeCell ref="A10:C10"/>
    <mergeCell ref="E10:F10"/>
    <mergeCell ref="A12:G12"/>
    <mergeCell ref="A14:C14"/>
    <mergeCell ref="D14:E14"/>
    <mergeCell ref="A1:G1"/>
    <mergeCell ref="E3:F3"/>
    <mergeCell ref="A4:D4"/>
    <mergeCell ref="A6:C6"/>
    <mergeCell ref="D6:G6"/>
    <mergeCell ref="A7:C7"/>
    <mergeCell ref="D7:G7"/>
    <mergeCell ref="A18:C18"/>
    <mergeCell ref="A19:C19"/>
    <mergeCell ref="A20:C20"/>
    <mergeCell ref="A21:C21"/>
    <mergeCell ref="A23:G23"/>
    <mergeCell ref="A25:G25"/>
    <mergeCell ref="A15:C15"/>
    <mergeCell ref="D15:E15"/>
    <mergeCell ref="A16:C16"/>
    <mergeCell ref="D16:G16"/>
    <mergeCell ref="A17:C17"/>
    <mergeCell ref="D17:E17"/>
    <mergeCell ref="A38:C38"/>
    <mergeCell ref="A39:G39"/>
    <mergeCell ref="A41:G41"/>
    <mergeCell ref="E43:F43"/>
    <mergeCell ref="A44:G44"/>
    <mergeCell ref="A46:G46"/>
    <mergeCell ref="A27:C27"/>
    <mergeCell ref="D27:F27"/>
    <mergeCell ref="A29:G29"/>
    <mergeCell ref="A31:G31"/>
    <mergeCell ref="A34:G34"/>
    <mergeCell ref="A37:C37"/>
    <mergeCell ref="A51:C51"/>
    <mergeCell ref="D51:E51"/>
    <mergeCell ref="D52:E52"/>
    <mergeCell ref="A53:C53"/>
    <mergeCell ref="D53:E53"/>
    <mergeCell ref="A55:G55"/>
    <mergeCell ref="A48:C48"/>
    <mergeCell ref="D48:E48"/>
    <mergeCell ref="A49:C49"/>
    <mergeCell ref="D49:E49"/>
    <mergeCell ref="A50:C50"/>
    <mergeCell ref="D50:E50"/>
    <mergeCell ref="A64:B64"/>
    <mergeCell ref="A65:B65"/>
    <mergeCell ref="A66:B66"/>
    <mergeCell ref="A67:C67"/>
    <mergeCell ref="A69:G71"/>
    <mergeCell ref="A72:G72"/>
    <mergeCell ref="A57:D57"/>
    <mergeCell ref="A59:D59"/>
    <mergeCell ref="A60:B60"/>
    <mergeCell ref="A61:B61"/>
    <mergeCell ref="A62:B62"/>
    <mergeCell ref="A63:B63"/>
    <mergeCell ref="A81:B81"/>
    <mergeCell ref="A82:B82"/>
    <mergeCell ref="A83:B83"/>
    <mergeCell ref="A84:B84"/>
    <mergeCell ref="A85:B85"/>
    <mergeCell ref="A86:B86"/>
    <mergeCell ref="A73:G73"/>
    <mergeCell ref="E75:F75"/>
    <mergeCell ref="A76:C76"/>
    <mergeCell ref="A78:E78"/>
    <mergeCell ref="A79:B79"/>
    <mergeCell ref="A80:B80"/>
    <mergeCell ref="A96:D96"/>
    <mergeCell ref="A97:B97"/>
    <mergeCell ref="A98:B98"/>
    <mergeCell ref="A99:B99"/>
    <mergeCell ref="A100:B100"/>
    <mergeCell ref="A101:B101"/>
    <mergeCell ref="A87:B87"/>
    <mergeCell ref="A88:B88"/>
    <mergeCell ref="A89:B89"/>
    <mergeCell ref="A90:B90"/>
    <mergeCell ref="A92:G92"/>
    <mergeCell ref="A94:E94"/>
    <mergeCell ref="A109:B109"/>
    <mergeCell ref="A110:B110"/>
    <mergeCell ref="A112:B112"/>
    <mergeCell ref="A113:B113"/>
    <mergeCell ref="A114:B114"/>
    <mergeCell ref="A118:G118"/>
    <mergeCell ref="A102:B102"/>
    <mergeCell ref="A104:D104"/>
    <mergeCell ref="A105:B105"/>
    <mergeCell ref="A106:B106"/>
    <mergeCell ref="A107:B107"/>
    <mergeCell ref="A108:B108"/>
    <mergeCell ref="A153:G153"/>
    <mergeCell ref="A155:B155"/>
    <mergeCell ref="A159:G159"/>
    <mergeCell ref="E161:F161"/>
    <mergeCell ref="A163:D163"/>
    <mergeCell ref="A164:G164"/>
    <mergeCell ref="E120:F120"/>
    <mergeCell ref="A140:G140"/>
    <mergeCell ref="A144:D144"/>
    <mergeCell ref="A145:F145"/>
    <mergeCell ref="A147:G147"/>
    <mergeCell ref="A149:G149"/>
    <mergeCell ref="B171:G171"/>
    <mergeCell ref="B172:G172"/>
    <mergeCell ref="B173:G173"/>
    <mergeCell ref="B174:G174"/>
    <mergeCell ref="B175:G175"/>
    <mergeCell ref="A177:C177"/>
    <mergeCell ref="B165:G165"/>
    <mergeCell ref="B166:G166"/>
    <mergeCell ref="B167:G167"/>
    <mergeCell ref="B168:G168"/>
    <mergeCell ref="B169:G169"/>
    <mergeCell ref="B170:G170"/>
    <mergeCell ref="B176:E176"/>
    <mergeCell ref="A184:D184"/>
    <mergeCell ref="E184:G184"/>
    <mergeCell ref="A187:C187"/>
    <mergeCell ref="E187:F187"/>
    <mergeCell ref="A189:G189"/>
    <mergeCell ref="A179:G179"/>
    <mergeCell ref="A181:D181"/>
    <mergeCell ref="E181:G181"/>
    <mergeCell ref="A182:D182"/>
    <mergeCell ref="E182:G182"/>
    <mergeCell ref="A183:D183"/>
    <mergeCell ref="E183:G183"/>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&amp;CMODIFICACIÓN AL CERTIFICADO DE CALIBRACIÓN DE BALANZAS&amp;R&amp;"-,Negrita"&amp;12
             </oddHeader>
    <oddFooter>&amp;R&amp;8
  RT03-F39  Vr.9 (2020-05-09)
Página  &amp;P de &amp;N</oddFooter>
  </headerFooter>
  <rowBreaks count="2" manualBreakCount="2">
    <brk id="72" max="6" man="1"/>
    <brk id="15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 '!$A$156:$A$159</xm:f>
          </x14:formula1>
          <xm:sqref>G180 D180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DATOS @ </vt:lpstr>
      <vt:lpstr>RT03-F12 @</vt:lpstr>
      <vt:lpstr> RT03-F15 @</vt:lpstr>
      <vt:lpstr> CMC @</vt:lpstr>
      <vt:lpstr>Max y MIN @</vt:lpstr>
      <vt:lpstr> RT03-F39 @ </vt:lpstr>
      <vt:lpstr>' CMC @'!Área_de_impresión</vt:lpstr>
      <vt:lpstr>' RT03-F15 @'!Área_de_impresión</vt:lpstr>
      <vt:lpstr>' RT03-F39 @ '!Área_de_impresión</vt:lpstr>
      <vt:lpstr>'RT03-F12 @'!Área_de_impresión</vt:lpstr>
      <vt:lpstr>' RT03-F15 @'!Print_Area</vt:lpstr>
      <vt:lpstr>' RT03-F39 @ '!Print_Area</vt:lpstr>
      <vt:lpstr>'DATOS @ '!Print_Area</vt:lpstr>
      <vt:lpstr>'RT03-F12 @'!Print_Area</vt:lpstr>
      <vt:lpstr>' RT03-F15 @'!Print_Titles</vt:lpstr>
      <vt:lpstr>' RT03-F39 @ '!Print_Titles</vt:lpstr>
      <vt:lpstr>'RT03-F12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yenni hernandez gomez</cp:lastModifiedBy>
  <cp:lastPrinted>2020-05-09T14:33:11Z</cp:lastPrinted>
  <dcterms:created xsi:type="dcterms:W3CDTF">2016-06-28T20:23:39Z</dcterms:created>
  <dcterms:modified xsi:type="dcterms:W3CDTF">2020-05-09T16:05:16Z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